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codeName="ThisWorkbook" defaultThemeVersion="124226"/>
  <mc:AlternateContent xmlns:mc="http://schemas.openxmlformats.org/markup-compatibility/2006">
    <mc:Choice Requires="x15">
      <x15ac:absPath xmlns:x15ac="http://schemas.microsoft.com/office/spreadsheetml/2010/11/ac" url="https://d.docs.live.net/b9e36190cd9cd50d/Watchung/financial statements/"/>
    </mc:Choice>
  </mc:AlternateContent>
  <xr:revisionPtr revIDLastSave="67" documentId="8_{49901B02-DD61-4D56-98F8-85453A53D515}" xr6:coauthVersionLast="45" xr6:coauthVersionMax="45" xr10:uidLastSave="{0DE42CBC-E109-43E1-BEBA-A68B4B204573}"/>
  <workbookProtection workbookPassword="CAF9" lockStructure="1"/>
  <bookViews>
    <workbookView xWindow="-108" yWindow="-108" windowWidth="23256" windowHeight="12576" tabRatio="908" firstSheet="59" activeTab="100" xr2:uid="{00000000-000D-0000-FFFF-FFFF00000000}"/>
  </bookViews>
  <sheets>
    <sheet name="Instructions" sheetId="1" r:id="rId1"/>
    <sheet name="69 - Instructions" sheetId="2" state="hidden" r:id="rId2"/>
    <sheet name="KEY INPUTS" sheetId="3" r:id="rId3"/>
    <sheet name="KEY METRICS" sheetId="4" state="hidden" r:id="rId4"/>
    <sheet name="1- Cover" sheetId="5" r:id="rId5"/>
    <sheet name="1a - RMA Certification" sheetId="6" r:id="rId6"/>
    <sheet name="1b - Local Exam Qual Cert" sheetId="7" r:id="rId7"/>
    <sheet name="1c - Fed &amp; State Finan Asst." sheetId="8" r:id="rId8"/>
    <sheet name="2 - No Utility Fund Cert" sheetId="9" r:id="rId9"/>
    <sheet name="3-Trial Bal-Current Fund" sheetId="10" r:id="rId10"/>
    <sheet name="3a-Trial Bal-Current Fund" sheetId="11" r:id="rId11"/>
    <sheet name="3a.1-Trial Bal-Current Fund" sheetId="12" r:id="rId12"/>
    <sheet name="4-Trial Bal-Pub Assist Fnd" sheetId="13" r:id="rId13"/>
    <sheet name="5-Trial Bal-Grants" sheetId="14" r:id="rId14"/>
    <sheet name="6-Trial Bal-Trust Fnds" sheetId="15" r:id="rId15"/>
    <sheet name="6.1-Trial Bal-Trust Fnds" sheetId="16" r:id="rId16"/>
    <sheet name="6.2-Trial Bal-Trust Fnds" sheetId="17" state="hidden" r:id="rId17"/>
    <sheet name="6.3-Trial Bal-Trust Fnds" sheetId="18" state="hidden" r:id="rId18"/>
    <sheet name="6.4-Trial Bal-Trust Fnds" sheetId="19" state="hidden" r:id="rId19"/>
    <sheet name="6.TOTAL-Trial Bal-Trust Fnds" sheetId="20" r:id="rId20"/>
    <sheet name="6b-Trust Fund Reserves" sheetId="21" r:id="rId21"/>
    <sheet name="6b.1-Trust Fund Reserves" sheetId="22" state="hidden" r:id="rId22"/>
    <sheet name="6b.2-Trust Fund Reserves" sheetId="23" state="hidden" r:id="rId23"/>
    <sheet name="6b.3-Trust Fund Reserves" sheetId="24" state="hidden" r:id="rId24"/>
    <sheet name="6b-Total Trust Fund Reserves" sheetId="25" r:id="rId25"/>
    <sheet name="7-Trust Asm Cash &amp; Investments" sheetId="26" r:id="rId26"/>
    <sheet name="8-Trial Bal-Gen Cap Fund" sheetId="27" r:id="rId27"/>
    <sheet name="8.1-Trial Bal-Gen Cap Fund" sheetId="28" r:id="rId28"/>
    <sheet name="9-Cash Reconciliation" sheetId="29" r:id="rId29"/>
    <sheet name="9a-Cash Reconciliation" sheetId="30" r:id="rId30"/>
    <sheet name="9a.1-Cash Reconciliation" sheetId="31" state="hidden" r:id="rId31"/>
    <sheet name="9a.2-Cash Reconciliation" sheetId="32" state="hidden" r:id="rId32"/>
    <sheet name="9a.3-Cash Reconciliation" sheetId="33" state="hidden" r:id="rId33"/>
    <sheet name="9a TOTAL-Cash Reconciliation" sheetId="34" r:id="rId34"/>
    <sheet name="10-Grants Receivable" sheetId="35" r:id="rId35"/>
    <sheet name="10.1-Grants Receivable" sheetId="36" r:id="rId36"/>
    <sheet name="10.2-Grants Receivable" sheetId="37" state="hidden" r:id="rId37"/>
    <sheet name="10.3-Grants Receivable" sheetId="38" state="hidden" r:id="rId38"/>
    <sheet name="10.4-Grants Receivable" sheetId="39" state="hidden" r:id="rId39"/>
    <sheet name="10.5-Grants Receivable" sheetId="40" state="hidden" r:id="rId40"/>
    <sheet name="10.6-Grants Receivable" sheetId="41" state="hidden" r:id="rId41"/>
    <sheet name="10.7-Grants Receivable" sheetId="42" state="hidden" r:id="rId42"/>
    <sheet name="10.8-Grants Receivable" sheetId="43" state="hidden" r:id="rId43"/>
    <sheet name="10.9-Grants Receivable" sheetId="44" state="hidden" r:id="rId44"/>
    <sheet name="10.10-Grants Receivable" sheetId="45" state="hidden" r:id="rId45"/>
    <sheet name="10.11-Grants Receivable" sheetId="46" state="hidden" r:id="rId46"/>
    <sheet name="10.12-Grants Receivable" sheetId="47" state="hidden" r:id="rId47"/>
    <sheet name="10.13-Grants Receivable" sheetId="48" state="hidden" r:id="rId48"/>
    <sheet name="10.14-Grants Receivable" sheetId="49" state="hidden" r:id="rId49"/>
    <sheet name="10.15-Grants Receivable" sheetId="50" state="hidden" r:id="rId50"/>
    <sheet name="10.16-Grants Receivable" sheetId="51" state="hidden" r:id="rId51"/>
    <sheet name="10.17-Grants Receivable" sheetId="52" state="hidden" r:id="rId52"/>
    <sheet name="10.18-Grants Receivable" sheetId="53" state="hidden" r:id="rId53"/>
    <sheet name="10.19-Grants Receivable" sheetId="54" state="hidden" r:id="rId54"/>
    <sheet name="10.20-Grants Receivable" sheetId="55" state="hidden" r:id="rId55"/>
    <sheet name="10.21-Grants Receivable" sheetId="56" state="hidden" r:id="rId56"/>
    <sheet name="10.22-Grants Receivable" sheetId="57" state="hidden" r:id="rId57"/>
    <sheet name="10.23-Grants Receivable" sheetId="58" state="hidden" r:id="rId58"/>
    <sheet name="10.24-Grants Receivable" sheetId="59" state="hidden" r:id="rId59"/>
    <sheet name="10 Totals Grants Receivable" sheetId="60" r:id="rId60"/>
    <sheet name="11 Grants Approp Rsrv" sheetId="61" r:id="rId61"/>
    <sheet name="11.1 Grants Approp Rsrv" sheetId="62" r:id="rId62"/>
    <sheet name="11.2 Grants Approp Rsrv" sheetId="63" r:id="rId63"/>
    <sheet name="11.3 Grants Approp Rsrv" sheetId="64" state="hidden" r:id="rId64"/>
    <sheet name="11.4 Grants Approp Rsrv" sheetId="65" state="hidden" r:id="rId65"/>
    <sheet name="11.5 Grants Approp Rsrv" sheetId="66" state="hidden" r:id="rId66"/>
    <sheet name="11.6 Grants Approp Rsrv" sheetId="67" state="hidden" r:id="rId67"/>
    <sheet name="11.7 Grants Approp Rsrv" sheetId="68" state="hidden" r:id="rId68"/>
    <sheet name="11.8 Grants Approp Rsrv" sheetId="69" state="hidden" r:id="rId69"/>
    <sheet name="11.9 Grants Approp Rsrv" sheetId="70" state="hidden" r:id="rId70"/>
    <sheet name="11.10 Grants Approp Rsrv" sheetId="71" state="hidden" r:id="rId71"/>
    <sheet name="11.11 Grants Approp Rsrv" sheetId="72" state="hidden" r:id="rId72"/>
    <sheet name="11.12 Grants Approp Rsrv" sheetId="73" state="hidden" r:id="rId73"/>
    <sheet name="11.13 Grants Approp Rsrv" sheetId="74" state="hidden" r:id="rId74"/>
    <sheet name="11.14 Grants Approp Rsrv" sheetId="75" state="hidden" r:id="rId75"/>
    <sheet name="11.15 Grants Approp Rsrv" sheetId="76" state="hidden" r:id="rId76"/>
    <sheet name="11.16 Grants Approp Rsrv" sheetId="77" state="hidden" r:id="rId77"/>
    <sheet name="11.17 Grants Approp Rsrv" sheetId="78" state="hidden" r:id="rId78"/>
    <sheet name="11.18 Grants Approp Rsrv" sheetId="79" state="hidden" r:id="rId79"/>
    <sheet name="11.19 Grants Approp Rsrv" sheetId="80" state="hidden" r:id="rId80"/>
    <sheet name="11.20 Grants Approp Rsrv" sheetId="81" state="hidden" r:id="rId81"/>
    <sheet name="11.21 Grants Approp Rsrv" sheetId="82" state="hidden" r:id="rId82"/>
    <sheet name="11.22 Grants Approp Rsrv" sheetId="83" state="hidden" r:id="rId83"/>
    <sheet name="11.23 Grants Approp Rsrv" sheetId="84" state="hidden" r:id="rId84"/>
    <sheet name="11.24 Grants Approp Rsrv" sheetId="85" state="hidden" r:id="rId85"/>
    <sheet name="11.25 Grants Approp Rsrv" sheetId="86" state="hidden" r:id="rId86"/>
    <sheet name="11.26 Grants Approp Rsrv" sheetId="87" state="hidden" r:id="rId87"/>
    <sheet name="11.27 Grants Approp Rsrv" sheetId="88" state="hidden" r:id="rId88"/>
    <sheet name="11.28 Grants Approp Rsrv" sheetId="89" state="hidden" r:id="rId89"/>
    <sheet name="11.29 Grants Approp Rsrv" sheetId="90" state="hidden" r:id="rId90"/>
    <sheet name="11.30 Grants Approp Rsrv" sheetId="91" state="hidden" r:id="rId91"/>
    <sheet name="11.31 Grants Approp Rsrv" sheetId="92" state="hidden" r:id="rId92"/>
    <sheet name="11.32 Grants Approp Rsrv" sheetId="93" state="hidden" r:id="rId93"/>
    <sheet name="11.33 Grants Approp Rsrv" sheetId="94" state="hidden" r:id="rId94"/>
    <sheet name="11.34 Grants Approp Rsrv" sheetId="95" state="hidden" r:id="rId95"/>
    <sheet name="11.35 Grants Approp Rsrv" sheetId="96" state="hidden" r:id="rId96"/>
    <sheet name="11.36 Grants Approp Rsrv" sheetId="97" state="hidden" r:id="rId97"/>
    <sheet name="11.37 Grants Approp Rsrv" sheetId="98" state="hidden" r:id="rId98"/>
    <sheet name="11.38 Grants Approp Rsrv" sheetId="99" state="hidden" r:id="rId99"/>
    <sheet name="11.39 Grants Approp Rsrv" sheetId="100" state="hidden" r:id="rId100"/>
    <sheet name="11- Totals Grants Approp Rsrv" sheetId="101" r:id="rId101"/>
    <sheet name="12-Grants Unappropriated" sheetId="102" state="hidden" r:id="rId102"/>
    <sheet name="12.1-Grants Unappropriated" sheetId="103" state="hidden" r:id="rId103"/>
    <sheet name="12.2-Grants Unappropriated" sheetId="104" state="hidden" r:id="rId104"/>
    <sheet name="12 Total-Grants Unappropriated" sheetId="105" r:id="rId105"/>
    <sheet name="13-Other Taxes" sheetId="106" r:id="rId106"/>
    <sheet name="14-Other Taxes" sheetId="107" r:id="rId107"/>
    <sheet name="15-Other Taxes" sheetId="108" r:id="rId108"/>
    <sheet name="17-Budget Revenues" sheetId="109" r:id="rId109"/>
    <sheet name="17a-Budget Revenues" sheetId="110" r:id="rId110"/>
    <sheet name="17a.1-Budget Revenues " sheetId="111" r:id="rId111"/>
    <sheet name="17a.2-Budget Revenues" sheetId="112" r:id="rId112"/>
    <sheet name="17a.3-Budget Revenues" sheetId="113" r:id="rId113"/>
    <sheet name="17a Totals-Budget Revenues" sheetId="114" r:id="rId114"/>
    <sheet name="18-Budget Appropriations" sheetId="115" r:id="rId115"/>
    <sheet name="19-Results of Op-Cur Fnd" sheetId="116" r:id="rId116"/>
    <sheet name="20-Misc Rev Not Ant" sheetId="117" r:id="rId117"/>
    <sheet name="20.1-Misc Rev Not Ant" sheetId="118" r:id="rId118"/>
    <sheet name="20 Total-Misc Rev Not Ant" sheetId="119" r:id="rId119"/>
    <sheet name="21-Current Fund Surplus" sheetId="120" r:id="rId120"/>
    <sheet name="22-2019 Levy" sheetId="121" r:id="rId121"/>
    <sheet name="22a-Tax Levy Sale" sheetId="122" r:id="rId122"/>
    <sheet name="23-SCVet Deductions" sheetId="123" r:id="rId123"/>
    <sheet name="24-Reserves for Tax Appeals" sheetId="124" r:id="rId124"/>
    <sheet name="26-Delinquent Taxes and Liens" sheetId="125" r:id="rId125"/>
    <sheet name="27-Foreclosed Property" sheetId="126" r:id="rId126"/>
    <sheet name="28-Deferred Charges" sheetId="127" r:id="rId127"/>
    <sheet name="29-Special Emergency" sheetId="128" r:id="rId128"/>
    <sheet name="30-Special Emergency" sheetId="129" r:id="rId129"/>
    <sheet name="31-Capital Bond Schedule" sheetId="130" r:id="rId130"/>
    <sheet name="31A-Loan Schedule" sheetId="131" r:id="rId131"/>
    <sheet name="31A.1-Loan Schedule" sheetId="132" r:id="rId132"/>
    <sheet name="31A.2-Loan Schedule" sheetId="133" r:id="rId133"/>
    <sheet name="32-Bond Schedule" sheetId="134" r:id="rId134"/>
    <sheet name="33-Note Debt Service" sheetId="135" r:id="rId135"/>
    <sheet name="33.1-Note Debt Service" sheetId="136" r:id="rId136"/>
    <sheet name="33 Totals-Note Debt Service" sheetId="137" r:id="rId137"/>
    <sheet name="34-Assmt Note Debt Service" sheetId="138" r:id="rId138"/>
    <sheet name="34a-Cap Lease Program Oblg" sheetId="139" r:id="rId139"/>
    <sheet name="35- Cap Fund Imprv Auth" sheetId="140" r:id="rId140"/>
    <sheet name="35.1- Cap Fund Imprv Auth " sheetId="141" r:id="rId141"/>
    <sheet name="35.2- Cap Fund Imprv Auth" sheetId="142" state="hidden" r:id="rId142"/>
    <sheet name="35.3- Cap Fund Imprv Auth" sheetId="143" state="hidden" r:id="rId143"/>
    <sheet name="35.4- Cap Fund Imprv Auth" sheetId="144" state="hidden" r:id="rId144"/>
    <sheet name="35.5- Cap Fund Imprv Auth" sheetId="145" state="hidden" r:id="rId145"/>
    <sheet name="35.6- Cap Fund Imprv Auth" sheetId="146" state="hidden" r:id="rId146"/>
    <sheet name="35.7- Cap Fund Imprv Auth" sheetId="147" state="hidden" r:id="rId147"/>
    <sheet name="35.8- Cap Fund Imprv Auth" sheetId="148" state="hidden" r:id="rId148"/>
    <sheet name="35.9- Cap Fund Imprv Auth" sheetId="149" state="hidden" r:id="rId149"/>
    <sheet name="35 Totals- Cap Fund Imprv Auth" sheetId="150" r:id="rId150"/>
    <sheet name="36- Capital Improvement Fund" sheetId="151" r:id="rId151"/>
    <sheet name="37- Cap Fund Down Pymts" sheetId="152" r:id="rId152"/>
    <sheet name="38- Capital Surplus" sheetId="153" r:id="rId153"/>
    <sheet name="39- Req. Information" sheetId="154" r:id="rId154"/>
    <sheet name="40" sheetId="155" r:id="rId155"/>
    <sheet name="41-Utility1 " sheetId="156" r:id="rId156"/>
    <sheet name="41a-Utility1" sheetId="157" r:id="rId157"/>
    <sheet name="41a.1-Utility1" sheetId="158" r:id="rId158"/>
    <sheet name="42-Utility1" sheetId="159" r:id="rId159"/>
    <sheet name="43-Utility1" sheetId="160" r:id="rId160"/>
    <sheet name="44-Utility1" sheetId="161" r:id="rId161"/>
    <sheet name="45-Utility1" sheetId="162" r:id="rId162"/>
    <sheet name="46-Utility1" sheetId="163" r:id="rId163"/>
    <sheet name="47-Utility1" sheetId="164" r:id="rId164"/>
    <sheet name="48-Utility1" sheetId="165" r:id="rId165"/>
    <sheet name="49-Utility1" sheetId="166" r:id="rId166"/>
    <sheet name="49a-Utility1" sheetId="167" r:id="rId167"/>
    <sheet name="49a.1-Utility1" sheetId="168" r:id="rId168"/>
    <sheet name="50-Utility1" sheetId="169" r:id="rId169"/>
    <sheet name="51-Utility1" sheetId="170" r:id="rId170"/>
    <sheet name="51a-Utility1" sheetId="171" r:id="rId171"/>
    <sheet name="52-Utility1" sheetId="172" r:id="rId172"/>
    <sheet name="52.1-Utility1" sheetId="173" state="hidden" r:id="rId173"/>
    <sheet name="52.2-Utility1" sheetId="174" state="hidden" r:id="rId174"/>
    <sheet name="52.3-Utility1" sheetId="175" state="hidden" r:id="rId175"/>
    <sheet name="52-Totals-Utility 1" sheetId="176" r:id="rId176"/>
    <sheet name="53-Utility1" sheetId="177" r:id="rId177"/>
    <sheet name="54-Utility1" sheetId="178" r:id="rId178"/>
    <sheet name="41-Utility2" sheetId="179" r:id="rId179"/>
    <sheet name="41a-Utility2" sheetId="180" r:id="rId180"/>
    <sheet name="41a.1-Utility2" sheetId="181" r:id="rId181"/>
    <sheet name="42-Utility2" sheetId="182" r:id="rId182"/>
    <sheet name="43-Utility2" sheetId="183" r:id="rId183"/>
    <sheet name="44-Utility2" sheetId="184" r:id="rId184"/>
    <sheet name="45-Utility2" sheetId="185" r:id="rId185"/>
    <sheet name="46-Utility2 " sheetId="186" r:id="rId186"/>
    <sheet name="47-Utility2" sheetId="187" r:id="rId187"/>
    <sheet name="48-Utility2" sheetId="188" r:id="rId188"/>
    <sheet name="49-Utility2" sheetId="189" r:id="rId189"/>
    <sheet name="49a-Utility2" sheetId="190" r:id="rId190"/>
    <sheet name="49a.1-Utility2 " sheetId="191" r:id="rId191"/>
    <sheet name="50-Utility2" sheetId="192" r:id="rId192"/>
    <sheet name="51-Utility2" sheetId="193" r:id="rId193"/>
    <sheet name="51a-Utility2" sheetId="194" r:id="rId194"/>
    <sheet name="52-Utility2" sheetId="195" r:id="rId195"/>
    <sheet name="52.1-Utility2" sheetId="196" state="hidden" r:id="rId196"/>
    <sheet name="52.2-Utility2" sheetId="197" state="hidden" r:id="rId197"/>
    <sheet name="52.3-Utility2" sheetId="198" state="hidden" r:id="rId198"/>
    <sheet name="52-Totals-Utility2" sheetId="199" r:id="rId199"/>
    <sheet name="53-Utility2" sheetId="200" r:id="rId200"/>
    <sheet name="54-Utility2" sheetId="201" r:id="rId201"/>
    <sheet name="41-Utility3" sheetId="202" r:id="rId202"/>
    <sheet name="41a-Utility3" sheetId="203" r:id="rId203"/>
    <sheet name="41a.1-Utility3" sheetId="204" r:id="rId204"/>
    <sheet name="42-Utility3" sheetId="205" r:id="rId205"/>
    <sheet name="43-Utility3" sheetId="206" r:id="rId206"/>
    <sheet name="44-Utility3" sheetId="207" r:id="rId207"/>
    <sheet name="45-Utility3" sheetId="208" r:id="rId208"/>
    <sheet name="46-Utility3" sheetId="209" r:id="rId209"/>
    <sheet name="47-Utility3" sheetId="210" r:id="rId210"/>
    <sheet name="48-Utility3" sheetId="211" r:id="rId211"/>
    <sheet name="49-Utility3" sheetId="212" r:id="rId212"/>
    <sheet name="49a-Utility3" sheetId="213" r:id="rId213"/>
    <sheet name="49a.1-Utility3" sheetId="214" r:id="rId214"/>
    <sheet name="50-Utility3" sheetId="215" r:id="rId215"/>
    <sheet name="51-Utility3" sheetId="216" r:id="rId216"/>
    <sheet name="51a-Utility3" sheetId="217" r:id="rId217"/>
    <sheet name="52-Utility3" sheetId="218" r:id="rId218"/>
    <sheet name="52.1-Utility3" sheetId="219" state="hidden" r:id="rId219"/>
    <sheet name="52.2-Utility3" sheetId="220" state="hidden" r:id="rId220"/>
    <sheet name="52.3-Utility3" sheetId="221" state="hidden" r:id="rId221"/>
    <sheet name="52-Totals-Utility3" sheetId="222" r:id="rId222"/>
    <sheet name="53-Utility3" sheetId="223" r:id="rId223"/>
    <sheet name="54-Utility3" sheetId="224" r:id="rId224"/>
    <sheet name="41-Utility4" sheetId="225" r:id="rId225"/>
    <sheet name="41a-Utility4" sheetId="226" r:id="rId226"/>
    <sheet name="41a.1-Utility4" sheetId="227" r:id="rId227"/>
    <sheet name="42-Utility4" sheetId="228" r:id="rId228"/>
    <sheet name="43-Utility4" sheetId="229" r:id="rId229"/>
    <sheet name="44-Utility4" sheetId="230" r:id="rId230"/>
    <sheet name="45-Utility4" sheetId="231" r:id="rId231"/>
    <sheet name="46-Utility4" sheetId="232" r:id="rId232"/>
    <sheet name="47-Utility4" sheetId="233" r:id="rId233"/>
    <sheet name="48-Utility4" sheetId="234" r:id="rId234"/>
    <sheet name="49-Utility4" sheetId="235" r:id="rId235"/>
    <sheet name="49a-Utility4" sheetId="236" r:id="rId236"/>
    <sheet name="49a.1-Utility4" sheetId="237" r:id="rId237"/>
    <sheet name="50-Utility4" sheetId="238" r:id="rId238"/>
    <sheet name="51-Utility4" sheetId="239" r:id="rId239"/>
    <sheet name="51a-Utility4" sheetId="240" r:id="rId240"/>
    <sheet name="52-Utility4" sheetId="241" r:id="rId241"/>
    <sheet name="52.1-Utility4" sheetId="242" state="hidden" r:id="rId242"/>
    <sheet name="52.2-Utility4" sheetId="243" state="hidden" r:id="rId243"/>
    <sheet name="52.3-Utility4" sheetId="244" state="hidden" r:id="rId244"/>
    <sheet name="52-Totals-Utility4" sheetId="245" r:id="rId245"/>
    <sheet name="53-Utility4" sheetId="246" r:id="rId246"/>
    <sheet name="54-Utility4" sheetId="247" r:id="rId247"/>
    <sheet name="41-Utility5" sheetId="248" r:id="rId248"/>
    <sheet name="41a-Utility5" sheetId="249" r:id="rId249"/>
    <sheet name="41a.1-Utility5" sheetId="250" r:id="rId250"/>
    <sheet name="42-Utility5" sheetId="251" r:id="rId251"/>
    <sheet name="43-Utility5" sheetId="252" r:id="rId252"/>
    <sheet name="44-Utility5" sheetId="253" r:id="rId253"/>
    <sheet name="45-Utility5" sheetId="254" r:id="rId254"/>
    <sheet name="46-Utility5" sheetId="255" r:id="rId255"/>
    <sheet name="47-Utility5" sheetId="256" r:id="rId256"/>
    <sheet name="48-Utility5" sheetId="257" r:id="rId257"/>
    <sheet name="49-Utility5" sheetId="258" r:id="rId258"/>
    <sheet name="49a-Utility5" sheetId="259" r:id="rId259"/>
    <sheet name="49a.1-Utility5" sheetId="260" r:id="rId260"/>
    <sheet name="50-Utility5" sheetId="261" r:id="rId261"/>
    <sheet name="51-Utility5" sheetId="262" r:id="rId262"/>
    <sheet name="51a-Utility5" sheetId="263" r:id="rId263"/>
    <sheet name="52-Utility5" sheetId="264" r:id="rId264"/>
    <sheet name="52.1-Utility5" sheetId="265" state="hidden" r:id="rId265"/>
    <sheet name="52.2-Utility5" sheetId="266" state="hidden" r:id="rId266"/>
    <sheet name="52.3-Utility5" sheetId="267" state="hidden" r:id="rId267"/>
    <sheet name="52-Totals-Utility5" sheetId="268" r:id="rId268"/>
    <sheet name="53-Utility5" sheetId="269" r:id="rId269"/>
    <sheet name="54-Utility5" sheetId="270" r:id="rId270"/>
    <sheet name="41-Utility6" sheetId="271" r:id="rId271"/>
    <sheet name="41a-Utility6" sheetId="272" r:id="rId272"/>
    <sheet name="41a.1-Utility6" sheetId="273" r:id="rId273"/>
    <sheet name="42-Utility6" sheetId="274" r:id="rId274"/>
    <sheet name="43-Utility6" sheetId="275" r:id="rId275"/>
    <sheet name="44-Utility6" sheetId="276" r:id="rId276"/>
    <sheet name="45-Utility6" sheetId="277" r:id="rId277"/>
    <sheet name="46-Utility6" sheetId="278" r:id="rId278"/>
    <sheet name="47-Utility6" sheetId="279" r:id="rId279"/>
    <sheet name="48-Utility6" sheetId="280" r:id="rId280"/>
    <sheet name="49-Utility6" sheetId="281" r:id="rId281"/>
    <sheet name="49a-Utility6" sheetId="282" r:id="rId282"/>
    <sheet name="49a.1-Utility6" sheetId="283" r:id="rId283"/>
    <sheet name="50-Utility6" sheetId="284" r:id="rId284"/>
    <sheet name="51-Utility6" sheetId="285" r:id="rId285"/>
    <sheet name="51a-Utility6" sheetId="286" r:id="rId286"/>
    <sheet name="52-Utility 6" sheetId="287" r:id="rId287"/>
    <sheet name="52.1-Utility6" sheetId="288" state="hidden" r:id="rId288"/>
    <sheet name="52.2-Utility6" sheetId="289" state="hidden" r:id="rId289"/>
    <sheet name="52.3-Utility6" sheetId="290" state="hidden" r:id="rId290"/>
    <sheet name="52-Totals-Utility6" sheetId="291" r:id="rId291"/>
    <sheet name="53-Utility6" sheetId="292" r:id="rId292"/>
    <sheet name="54-Utility6" sheetId="293" r:id="rId293"/>
  </sheets>
  <definedNames>
    <definedName name="_xlnm._FilterDatabase" localSheetId="2" hidden="1">'KEY INPUTS'!$Z$6:$Z$571</definedName>
    <definedName name="_xlnm.Print_Area" localSheetId="4">'1- Cover'!$A$1:$O$65</definedName>
    <definedName name="_xlnm.Print_Area" localSheetId="59">'10 Totals Grants Receivable'!$A$1:$K$27</definedName>
    <definedName name="_xlnm.Print_Area" localSheetId="44">'10.10-Grants Receivable'!$A$1:$K$27</definedName>
    <definedName name="_xlnm.Print_Area" localSheetId="45">'10.11-Grants Receivable'!$A$1:$K$27</definedName>
    <definedName name="_xlnm.Print_Area" localSheetId="46">'10.12-Grants Receivable'!$A$1:$K$27</definedName>
    <definedName name="_xlnm.Print_Area" localSheetId="47">'10.13-Grants Receivable'!$A$1:$K$27</definedName>
    <definedName name="_xlnm.Print_Area" localSheetId="48">'10.14-Grants Receivable'!$A$1:$K$27</definedName>
    <definedName name="_xlnm.Print_Area" localSheetId="49">'10.15-Grants Receivable'!$A$1:$K$27</definedName>
    <definedName name="_xlnm.Print_Area" localSheetId="50">'10.16-Grants Receivable'!$A$1:$K$27</definedName>
    <definedName name="_xlnm.Print_Area" localSheetId="51">'10.17-Grants Receivable'!$A$1:$K$27</definedName>
    <definedName name="_xlnm.Print_Area" localSheetId="52">'10.18-Grants Receivable'!$A$1:$K$27</definedName>
    <definedName name="_xlnm.Print_Area" localSheetId="53">'10.19-Grants Receivable'!$A$1:$K$27</definedName>
    <definedName name="_xlnm.Print_Area" localSheetId="35">'10.1-Grants Receivable'!$A$1:$K$27</definedName>
    <definedName name="_xlnm.Print_Area" localSheetId="54">'10.20-Grants Receivable'!$A$1:$K$27</definedName>
    <definedName name="_xlnm.Print_Area" localSheetId="55">'10.21-Grants Receivable'!$A$1:$K$27</definedName>
    <definedName name="_xlnm.Print_Area" localSheetId="56">'10.22-Grants Receivable'!$A$1:$K$27</definedName>
    <definedName name="_xlnm.Print_Area" localSheetId="57">'10.23-Grants Receivable'!$A$1:$K$27</definedName>
    <definedName name="_xlnm.Print_Area" localSheetId="58">'10.24-Grants Receivable'!$A$1:$K$27</definedName>
    <definedName name="_xlnm.Print_Area" localSheetId="36">'10.2-Grants Receivable'!$A$1:$K$27</definedName>
    <definedName name="_xlnm.Print_Area" localSheetId="37">'10.3-Grants Receivable'!$A$1:$K$27</definedName>
    <definedName name="_xlnm.Print_Area" localSheetId="38">'10.4-Grants Receivable'!$A$1:$K$27</definedName>
    <definedName name="_xlnm.Print_Area" localSheetId="39">'10.5-Grants Receivable'!$A$1:$K$27</definedName>
    <definedName name="_xlnm.Print_Area" localSheetId="40">'10.6-Grants Receivable'!$A$1:$K$27</definedName>
    <definedName name="_xlnm.Print_Area" localSheetId="41">'10.7-Grants Receivable'!$A$1:$K$27</definedName>
    <definedName name="_xlnm.Print_Area" localSheetId="42">'10.8-Grants Receivable'!$A$1:$K$27</definedName>
    <definedName name="_xlnm.Print_Area" localSheetId="43">'10.9-Grants Receivable'!$A$1:$K$27</definedName>
    <definedName name="_xlnm.Print_Area" localSheetId="34">'10-Grants Receivable'!$A$1:$K$27</definedName>
    <definedName name="_xlnm.Print_Area" localSheetId="60">'11 Grants Approp Rsrv'!$A$1:$L$27</definedName>
    <definedName name="_xlnm.Print_Area" localSheetId="100">'11- Totals Grants Approp Rsrv'!$A$1:$L$27</definedName>
    <definedName name="_xlnm.Print_Area" localSheetId="61">'11.1 Grants Approp Rsrv'!$A$1:$L$27</definedName>
    <definedName name="_xlnm.Print_Area" localSheetId="70">'11.10 Grants Approp Rsrv'!$A$1:$L$27</definedName>
    <definedName name="_xlnm.Print_Area" localSheetId="71">'11.11 Grants Approp Rsrv'!$A$1:$L$27</definedName>
    <definedName name="_xlnm.Print_Area" localSheetId="72">'11.12 Grants Approp Rsrv'!$A$1:$L$27</definedName>
    <definedName name="_xlnm.Print_Area" localSheetId="73">'11.13 Grants Approp Rsrv'!$A$1:$L$27</definedName>
    <definedName name="_xlnm.Print_Area" localSheetId="74">'11.14 Grants Approp Rsrv'!$A$1:$L$27</definedName>
    <definedName name="_xlnm.Print_Area" localSheetId="75">'11.15 Grants Approp Rsrv'!$A$1:$L$27</definedName>
    <definedName name="_xlnm.Print_Area" localSheetId="76">'11.16 Grants Approp Rsrv'!$A$1:$L$27</definedName>
    <definedName name="_xlnm.Print_Area" localSheetId="77">'11.17 Grants Approp Rsrv'!$A$1:$L$27</definedName>
    <definedName name="_xlnm.Print_Area" localSheetId="78">'11.18 Grants Approp Rsrv'!$A$1:$L$27</definedName>
    <definedName name="_xlnm.Print_Area" localSheetId="79">'11.19 Grants Approp Rsrv'!$A$1:$L$27</definedName>
    <definedName name="_xlnm.Print_Area" localSheetId="62">'11.2 Grants Approp Rsrv'!$A$1:$L$27</definedName>
    <definedName name="_xlnm.Print_Area" localSheetId="80">'11.20 Grants Approp Rsrv'!$A$1:$L$27</definedName>
    <definedName name="_xlnm.Print_Area" localSheetId="81">'11.21 Grants Approp Rsrv'!$A$1:$L$27</definedName>
    <definedName name="_xlnm.Print_Area" localSheetId="82">'11.22 Grants Approp Rsrv'!$A$1:$L$27</definedName>
    <definedName name="_xlnm.Print_Area" localSheetId="83">'11.23 Grants Approp Rsrv'!$A$1:$L$27</definedName>
    <definedName name="_xlnm.Print_Area" localSheetId="84">'11.24 Grants Approp Rsrv'!$A$1:$L$27</definedName>
    <definedName name="_xlnm.Print_Area" localSheetId="85">'11.25 Grants Approp Rsrv'!$A$1:$L$27</definedName>
    <definedName name="_xlnm.Print_Area" localSheetId="86">'11.26 Grants Approp Rsrv'!$A$1:$L$27</definedName>
    <definedName name="_xlnm.Print_Area" localSheetId="87">'11.27 Grants Approp Rsrv'!$A$1:$L$27</definedName>
    <definedName name="_xlnm.Print_Area" localSheetId="88">'11.28 Grants Approp Rsrv'!$A$1:$L$27</definedName>
    <definedName name="_xlnm.Print_Area" localSheetId="89">'11.29 Grants Approp Rsrv'!$A$1:$L$27</definedName>
    <definedName name="_xlnm.Print_Area" localSheetId="63">'11.3 Grants Approp Rsrv'!$A$1:$L$27</definedName>
    <definedName name="_xlnm.Print_Area" localSheetId="90">'11.30 Grants Approp Rsrv'!$A$1:$L$27</definedName>
    <definedName name="_xlnm.Print_Area" localSheetId="91">'11.31 Grants Approp Rsrv'!$A$1:$L$27</definedName>
    <definedName name="_xlnm.Print_Area" localSheetId="92">'11.32 Grants Approp Rsrv'!$A$1:$L$27</definedName>
    <definedName name="_xlnm.Print_Area" localSheetId="93">'11.33 Grants Approp Rsrv'!$A$1:$L$27</definedName>
    <definedName name="_xlnm.Print_Area" localSheetId="94">'11.34 Grants Approp Rsrv'!$A$1:$L$27</definedName>
    <definedName name="_xlnm.Print_Area" localSheetId="95">'11.35 Grants Approp Rsrv'!$A$1:$L$27</definedName>
    <definedName name="_xlnm.Print_Area" localSheetId="96">'11.36 Grants Approp Rsrv'!$A$1:$L$27</definedName>
    <definedName name="_xlnm.Print_Area" localSheetId="97">'11.37 Grants Approp Rsrv'!$A$1:$L$27</definedName>
    <definedName name="_xlnm.Print_Area" localSheetId="98">'11.38 Grants Approp Rsrv'!$A$1:$L$27</definedName>
    <definedName name="_xlnm.Print_Area" localSheetId="99">'11.39 Grants Approp Rsrv'!$A$1:$L$27</definedName>
    <definedName name="_xlnm.Print_Area" localSheetId="64">'11.4 Grants Approp Rsrv'!$A$1:$L$27</definedName>
    <definedName name="_xlnm.Print_Area" localSheetId="65">'11.5 Grants Approp Rsrv'!$A$1:$L$27</definedName>
    <definedName name="_xlnm.Print_Area" localSheetId="66">'11.6 Grants Approp Rsrv'!$A$1:$L$27</definedName>
    <definedName name="_xlnm.Print_Area" localSheetId="67">'11.7 Grants Approp Rsrv'!$A$1:$L$27</definedName>
    <definedName name="_xlnm.Print_Area" localSheetId="68">'11.8 Grants Approp Rsrv'!$A$1:$L$27</definedName>
    <definedName name="_xlnm.Print_Area" localSheetId="69">'11.9 Grants Approp Rsrv'!$A$1:$L$27</definedName>
    <definedName name="_xlnm.Print_Area" localSheetId="104">'12 Total-Grants Unappropriated'!$A$1:$K$27</definedName>
    <definedName name="_xlnm.Print_Area" localSheetId="102">'12.1-Grants Unappropriated'!$A$1:$K$27</definedName>
    <definedName name="_xlnm.Print_Area" localSheetId="103">'12.2-Grants Unappropriated'!$A$1:$K$27</definedName>
    <definedName name="_xlnm.Print_Area" localSheetId="101">'12-Grants Unappropriated'!$A$1:$K$27</definedName>
    <definedName name="_xlnm.Print_Area" localSheetId="105">'13-Other Taxes'!$A$1:$H$51</definedName>
    <definedName name="_xlnm.Print_Area" localSheetId="106">'14-Other Taxes'!$A$1:$H$52</definedName>
    <definedName name="_xlnm.Print_Area" localSheetId="107">'15-Other Taxes'!$A$1:$J$47</definedName>
    <definedName name="_xlnm.Print_Area" localSheetId="113">'17a Totals-Budget Revenues'!$A$1:$J$49</definedName>
    <definedName name="_xlnm.Print_Area" localSheetId="110">'17a.1-Budget Revenues '!$A$1:$J$49</definedName>
    <definedName name="_xlnm.Print_Area" localSheetId="111">'17a.2-Budget Revenues'!$A$1:$J$49</definedName>
    <definedName name="_xlnm.Print_Area" localSheetId="112">'17a.3-Budget Revenues'!$A$1:$J$49</definedName>
    <definedName name="_xlnm.Print_Area" localSheetId="109">'17a-Budget Revenues'!$A$1:$J$49</definedName>
    <definedName name="_xlnm.Print_Area" localSheetId="108">'17-Budget Revenues'!$A$1:$J$50</definedName>
    <definedName name="_xlnm.Print_Area" localSheetId="114">'18-Budget Appropriations'!$A$1:$J$54</definedName>
    <definedName name="_xlnm.Print_Area" localSheetId="115">'19-Results of Op-Cur Fnd'!$A$1:$I$48</definedName>
    <definedName name="_xlnm.Print_Area" localSheetId="5">'1a - RMA Certification'!$A$1:$N$70</definedName>
    <definedName name="_xlnm.Print_Area" localSheetId="6">'1b - Local Exam Qual Cert'!$A$1:$M$68</definedName>
    <definedName name="_xlnm.Print_Area" localSheetId="7">'1c - Fed &amp; State Finan Asst.'!$A$1:$M$71</definedName>
    <definedName name="_xlnm.Print_Area" localSheetId="8">'2 - No Utility Fund Cert'!$A$1:$M$59</definedName>
    <definedName name="_xlnm.Print_Area" localSheetId="118">'20 Total-Misc Rev Not Ant'!$A$1:$H$47</definedName>
    <definedName name="_xlnm.Print_Area" localSheetId="117">'20.1-Misc Rev Not Ant'!$A$1:$H$47</definedName>
    <definedName name="_xlnm.Print_Area" localSheetId="116">'20-Misc Rev Not Ant'!$A$1:$H$47</definedName>
    <definedName name="_xlnm.Print_Area" localSheetId="119">'21-Current Fund Surplus'!$A$1:$L$50</definedName>
    <definedName name="_xlnm.Print_Area" localSheetId="120">'22-2019 Levy'!$A$1:$N$63</definedName>
    <definedName name="_xlnm.Print_Area" localSheetId="121">'22a-Tax Levy Sale'!$A$1:$K$61</definedName>
    <definedName name="_xlnm.Print_Area" localSheetId="122">'23-SCVet Deductions'!$A$1:$J$54</definedName>
    <definedName name="_xlnm.Print_Area" localSheetId="123">'24-Reserves for Tax Appeals'!$A$1:$J$60</definedName>
    <definedName name="_xlnm.Print_Area" localSheetId="124">'26-Delinquent Taxes and Liens'!$A$1:$M$49</definedName>
    <definedName name="_xlnm.Print_Area" localSheetId="125">'27-Foreclosed Property'!$A$1:$L$50</definedName>
    <definedName name="_xlnm.Print_Area" localSheetId="126">'28-Deferred Charges'!$A$1:$N$58</definedName>
    <definedName name="_xlnm.Print_Area" localSheetId="127">'29-Special Emergency'!$A$1:$L$30</definedName>
    <definedName name="_xlnm.Print_Area" localSheetId="128">'30-Special Emergency'!$A$1:$L$30</definedName>
    <definedName name="_xlnm.Print_Area" localSheetId="131">'31A.1-Loan Schedule'!$A$1:$L$47</definedName>
    <definedName name="_xlnm.Print_Area" localSheetId="132">'31A.2-Loan Schedule'!$A$1:$L$47</definedName>
    <definedName name="_xlnm.Print_Area" localSheetId="130">'31A-Loan Schedule'!$A$1:$L$47</definedName>
    <definedName name="_xlnm.Print_Area" localSheetId="129">'31-Capital Bond Schedule'!$A$1:$L$47</definedName>
    <definedName name="_xlnm.Print_Area" localSheetId="133">'32-Bond Schedule'!$A$1:$L$48</definedName>
    <definedName name="_xlnm.Print_Area" localSheetId="136">'33 Totals-Note Debt Service'!$A$1:$L$29</definedName>
    <definedName name="_xlnm.Print_Area" localSheetId="135">'33.1-Note Debt Service'!$A$1:$L$29</definedName>
    <definedName name="_xlnm.Print_Area" localSheetId="134">'33-Note Debt Service'!$A$1:$L$29</definedName>
    <definedName name="_xlnm.Print_Area" localSheetId="138">'34a-Cap Lease Program Oblg'!$A$1:$I$27</definedName>
    <definedName name="_xlnm.Print_Area" localSheetId="137">'34-Assmt Note Debt Service'!$A$1:$L$29</definedName>
    <definedName name="_xlnm.Print_Area" localSheetId="139">'35- Cap Fund Imprv Auth'!$A$1:$L$29</definedName>
    <definedName name="_xlnm.Print_Area" localSheetId="149">'35 Totals- Cap Fund Imprv Auth'!$A$1:$L$29</definedName>
    <definedName name="_xlnm.Print_Area" localSheetId="140">'35.1- Cap Fund Imprv Auth '!$A$1:$L$29</definedName>
    <definedName name="_xlnm.Print_Area" localSheetId="141">'35.2- Cap Fund Imprv Auth'!$A$1:$L$29</definedName>
    <definedName name="_xlnm.Print_Area" localSheetId="142">'35.3- Cap Fund Imprv Auth'!$A$1:$L$29</definedName>
    <definedName name="_xlnm.Print_Area" localSheetId="143">'35.4- Cap Fund Imprv Auth'!$A$1:$L$29</definedName>
    <definedName name="_xlnm.Print_Area" localSheetId="144">'35.5- Cap Fund Imprv Auth'!$A$1:$L$29</definedName>
    <definedName name="_xlnm.Print_Area" localSheetId="145">'35.6- Cap Fund Imprv Auth'!$A$1:$L$29</definedName>
    <definedName name="_xlnm.Print_Area" localSheetId="146">'35.7- Cap Fund Imprv Auth'!$A$1:$L$29</definedName>
    <definedName name="_xlnm.Print_Area" localSheetId="147">'35.8- Cap Fund Imprv Auth'!$A$1:$L$29</definedName>
    <definedName name="_xlnm.Print_Area" localSheetId="148">'35.9- Cap Fund Imprv Auth'!$A$1:$L$29</definedName>
    <definedName name="_xlnm.Print_Area" localSheetId="150">'36- Capital Improvement Fund'!$A$1:$J$54</definedName>
    <definedName name="_xlnm.Print_Area" localSheetId="151">'37- Cap Fund Down Pymts'!$A$1:$J$54</definedName>
    <definedName name="_xlnm.Print_Area" localSheetId="152">'38- Capital Surplus'!$A$1:$J$62</definedName>
    <definedName name="_xlnm.Print_Area" localSheetId="153">'39- Req. Information'!$A$1:$Q$66</definedName>
    <definedName name="_xlnm.Print_Area" localSheetId="11">'3a.1-Trial Bal-Current Fund'!$A$1:$I$48</definedName>
    <definedName name="_xlnm.Print_Area" localSheetId="10">'3a-Trial Bal-Current Fund'!$A$1:$I$48</definedName>
    <definedName name="_xlnm.Print_Area" localSheetId="9">'3-Trial Bal-Current Fund'!$A$1:$H$48</definedName>
    <definedName name="_xlnm.Print_Area" localSheetId="154">'40'!$A$1:$K$68</definedName>
    <definedName name="_xlnm.Print_Area" localSheetId="157">'41a.1-Utility1'!$A$1:$H$50</definedName>
    <definedName name="_xlnm.Print_Area" localSheetId="180">'41a.1-Utility2'!$A$1:$H$50</definedName>
    <definedName name="_xlnm.Print_Area" localSheetId="203">'41a.1-Utility3'!$A$1:$H$50</definedName>
    <definedName name="_xlnm.Print_Area" localSheetId="226">'41a.1-Utility4'!$A$1:$H$50</definedName>
    <definedName name="_xlnm.Print_Area" localSheetId="249">'41a.1-Utility5'!$A$1:$H$50</definedName>
    <definedName name="_xlnm.Print_Area" localSheetId="272">'41a.1-Utility6'!$A$1:$H$50</definedName>
    <definedName name="_xlnm.Print_Area" localSheetId="156">'41a-Utility1'!$A$1:$H$50</definedName>
    <definedName name="_xlnm.Print_Area" localSheetId="179">'41a-Utility2'!$A$1:$H$50</definedName>
    <definedName name="_xlnm.Print_Area" localSheetId="202">'41a-Utility3'!$A$1:$H$50</definedName>
    <definedName name="_xlnm.Print_Area" localSheetId="225">'41a-Utility4'!$A$1:$H$50</definedName>
    <definedName name="_xlnm.Print_Area" localSheetId="248">'41a-Utility5'!$A$1:$H$50</definedName>
    <definedName name="_xlnm.Print_Area" localSheetId="271">'41a-Utility6'!$A$1:$H$50</definedName>
    <definedName name="_xlnm.Print_Area" localSheetId="155">'41-Utility1 '!$A$1:$I$50</definedName>
    <definedName name="_xlnm.Print_Area" localSheetId="178">'41-Utility2'!$A$1:$I$50</definedName>
    <definedName name="_xlnm.Print_Area" localSheetId="201">'41-Utility3'!$A$1:$I$50</definedName>
    <definedName name="_xlnm.Print_Area" localSheetId="224">'41-Utility4'!$A$1:$I$50</definedName>
    <definedName name="_xlnm.Print_Area" localSheetId="247">'41-Utility5'!$A$1:$I$50</definedName>
    <definedName name="_xlnm.Print_Area" localSheetId="270">'41-Utility6'!$A$1:$I$50</definedName>
    <definedName name="_xlnm.Print_Area" localSheetId="158">'42-Utility1'!$A$1:$H$49</definedName>
    <definedName name="_xlnm.Print_Area" localSheetId="181">'42-Utility2'!$A$1:$H$49</definedName>
    <definedName name="_xlnm.Print_Area" localSheetId="204">'42-Utility3'!$A$1:$H$49</definedName>
    <definedName name="_xlnm.Print_Area" localSheetId="227">'42-Utility4'!$A$1:$H$49</definedName>
    <definedName name="_xlnm.Print_Area" localSheetId="250">'42-Utility5'!$A$1:$H$49</definedName>
    <definedName name="_xlnm.Print_Area" localSheetId="273">'42-Utility6'!$A$1:$H$49</definedName>
    <definedName name="_xlnm.Print_Area" localSheetId="159">'43-Utility1'!$A$1:$L$27</definedName>
    <definedName name="_xlnm.Print_Area" localSheetId="182">'43-Utility2'!$A$1:$L$27</definedName>
    <definedName name="_xlnm.Print_Area" localSheetId="205">'43-Utility3'!$A$1:$L$27</definedName>
    <definedName name="_xlnm.Print_Area" localSheetId="228">'43-Utility4'!$A$1:$L$27</definedName>
    <definedName name="_xlnm.Print_Area" localSheetId="251">'43-Utility5'!$A$1:$L$27</definedName>
    <definedName name="_xlnm.Print_Area" localSheetId="274">'43-Utility6'!$A$1:$L$27</definedName>
    <definedName name="_xlnm.Print_Area" localSheetId="160">'44-Utility1'!$A$1:$J$55</definedName>
    <definedName name="_xlnm.Print_Area" localSheetId="183">'44-Utility2'!$A$1:$J$55</definedName>
    <definedName name="_xlnm.Print_Area" localSheetId="206">'44-Utility3'!$A$1:$J$55</definedName>
    <definedName name="_xlnm.Print_Area" localSheetId="229">'44-Utility4'!$A$1:$J$55</definedName>
    <definedName name="_xlnm.Print_Area" localSheetId="252">'44-Utility5'!$A$1:$J$55</definedName>
    <definedName name="_xlnm.Print_Area" localSheetId="275">'44-Utility6'!$A$1:$J$55</definedName>
    <definedName name="_xlnm.Print_Area" localSheetId="161">'45-Utility1'!$A$1:$K$57</definedName>
    <definedName name="_xlnm.Print_Area" localSheetId="184">'45-Utility2'!$A$1:$K$57</definedName>
    <definedName name="_xlnm.Print_Area" localSheetId="207">'45-Utility3'!$A$1:$K$57</definedName>
    <definedName name="_xlnm.Print_Area" localSheetId="230">'45-Utility4'!$A$1:$K$57</definedName>
    <definedName name="_xlnm.Print_Area" localSheetId="253">'45-Utility5'!$A$1:$K$57</definedName>
    <definedName name="_xlnm.Print_Area" localSheetId="276">'45-Utility6'!$A$1:$K$57</definedName>
    <definedName name="_xlnm.Print_Area" localSheetId="162">'46-Utility1'!$A$1:$L$52</definedName>
    <definedName name="_xlnm.Print_Area" localSheetId="185">'46-Utility2 '!$A$1:$L$52</definedName>
    <definedName name="_xlnm.Print_Area" localSheetId="208">'46-Utility3'!$A$1:$L$52</definedName>
    <definedName name="_xlnm.Print_Area" localSheetId="231">'46-Utility4'!$A$1:$L$52</definedName>
    <definedName name="_xlnm.Print_Area" localSheetId="254">'46-Utility5'!$A$1:$L$52</definedName>
    <definedName name="_xlnm.Print_Area" localSheetId="277">'46-Utility6'!$A$1:$L$52</definedName>
    <definedName name="_xlnm.Print_Area" localSheetId="163">'47-Utility1'!$A$1:$L$69</definedName>
    <definedName name="_xlnm.Print_Area" localSheetId="186">'47-Utility2'!$A$1:$L$69</definedName>
    <definedName name="_xlnm.Print_Area" localSheetId="209">'47-Utility3'!$A$1:$L$69</definedName>
    <definedName name="_xlnm.Print_Area" localSheetId="232">'47-Utility4'!$A$1:$L$69</definedName>
    <definedName name="_xlnm.Print_Area" localSheetId="255">'47-Utility5'!$A$1:$L$69</definedName>
    <definedName name="_xlnm.Print_Area" localSheetId="278">'47-Utility6'!$A$1:$L$69</definedName>
    <definedName name="_xlnm.Print_Area" localSheetId="164">'48-Utility1'!$A$1:$N$61</definedName>
    <definedName name="_xlnm.Print_Area" localSheetId="187">'48-Utility2'!$A$1:$N$61</definedName>
    <definedName name="_xlnm.Print_Area" localSheetId="210">'48-Utility3'!$A$1:$N$61</definedName>
    <definedName name="_xlnm.Print_Area" localSheetId="233">'48-Utility4'!$A$1:$N$61</definedName>
    <definedName name="_xlnm.Print_Area" localSheetId="256">'48-Utility5'!$A$1:$N$61</definedName>
    <definedName name="_xlnm.Print_Area" localSheetId="279">'48-Utility6'!$A$1:$N$61</definedName>
    <definedName name="_xlnm.Print_Area" localSheetId="167">'49a.1-Utility1'!$A$1:$L$51</definedName>
    <definedName name="_xlnm.Print_Area" localSheetId="190">'49a.1-Utility2 '!$A$1:$L$51</definedName>
    <definedName name="_xlnm.Print_Area" localSheetId="213">'49a.1-Utility3'!$A$1:$L$51</definedName>
    <definedName name="_xlnm.Print_Area" localSheetId="236">'49a.1-Utility4'!$A$1:$L$51</definedName>
    <definedName name="_xlnm.Print_Area" localSheetId="259">'49a.1-Utility5'!$A$1:$L$51</definedName>
    <definedName name="_xlnm.Print_Area" localSheetId="282">'49a.1-Utility6'!$A$1:$L$51</definedName>
    <definedName name="_xlnm.Print_Area" localSheetId="166">'49a-Utility1'!$A$1:$L$51</definedName>
    <definedName name="_xlnm.Print_Area" localSheetId="189">'49a-Utility2'!$A$1:$L$51</definedName>
    <definedName name="_xlnm.Print_Area" localSheetId="212">'49a-Utility3'!$A$1:$L$51</definedName>
    <definedName name="_xlnm.Print_Area" localSheetId="235">'49a-Utility4'!$A$1:$L$51</definedName>
    <definedName name="_xlnm.Print_Area" localSheetId="258">'49a-Utility5'!$A$1:$L$51</definedName>
    <definedName name="_xlnm.Print_Area" localSheetId="281">'49a-Utility6'!$A$1:$L$51</definedName>
    <definedName name="_xlnm.Print_Area" localSheetId="165">'49-Utility1'!$A$1:$L$50</definedName>
    <definedName name="_xlnm.Print_Area" localSheetId="188">'49-Utility2'!$A$1:$L$50</definedName>
    <definedName name="_xlnm.Print_Area" localSheetId="211">'49-Utility3'!$A$1:$L$50</definedName>
    <definedName name="_xlnm.Print_Area" localSheetId="234">'49-Utility4'!$A$1:$L$50</definedName>
    <definedName name="_xlnm.Print_Area" localSheetId="257">'49-Utility5'!$A$1:$L$50</definedName>
    <definedName name="_xlnm.Print_Area" localSheetId="280">'49-Utility6'!$A$1:$L$50</definedName>
    <definedName name="_xlnm.Print_Area" localSheetId="12">'4-Trial Bal-Pub Assist Fnd'!$A$1:$H$46</definedName>
    <definedName name="_xlnm.Print_Area" localSheetId="168">'50-Utility1'!$A$1:$M$30</definedName>
    <definedName name="_xlnm.Print_Area" localSheetId="191">'50-Utility2'!$A$1:$M$30</definedName>
    <definedName name="_xlnm.Print_Area" localSheetId="214">'50-Utility3'!$A$1:$M$30</definedName>
    <definedName name="_xlnm.Print_Area" localSheetId="237">'50-Utility4'!$A$1:$M$30</definedName>
    <definedName name="_xlnm.Print_Area" localSheetId="260">'50-Utility5'!$A$1:$M$30</definedName>
    <definedName name="_xlnm.Print_Area" localSheetId="283">'50-Utility6'!$A$1:$M$30</definedName>
    <definedName name="_xlnm.Print_Area" localSheetId="170">'51a-Utility1'!$A$1:$I$27</definedName>
    <definedName name="_xlnm.Print_Area" localSheetId="193">'51a-Utility2'!$A$1:$I$27</definedName>
    <definedName name="_xlnm.Print_Area" localSheetId="216">'51a-Utility3'!$A$1:$I$27</definedName>
    <definedName name="_xlnm.Print_Area" localSheetId="239">'51a-Utility4'!$A$1:$I$27</definedName>
    <definedName name="_xlnm.Print_Area" localSheetId="262">'51a-Utility5'!$A$1:$I$27</definedName>
    <definedName name="_xlnm.Print_Area" localSheetId="285">'51a-Utility6'!$A$1:$I$27</definedName>
    <definedName name="_xlnm.Print_Area" localSheetId="169">'51-Utility1'!$A$1:$L$29</definedName>
    <definedName name="_xlnm.Print_Area" localSheetId="192">'51-Utility2'!$A$1:$L$29</definedName>
    <definedName name="_xlnm.Print_Area" localSheetId="215">'51-Utility3'!$A$1:$L$29</definedName>
    <definedName name="_xlnm.Print_Area" localSheetId="238">'51-Utility4'!$A$1:$L$29</definedName>
    <definedName name="_xlnm.Print_Area" localSheetId="261">'51-Utility5'!$A$1:$L$29</definedName>
    <definedName name="_xlnm.Print_Area" localSheetId="284">'51-Utility6'!$A$1:$L$29</definedName>
    <definedName name="_xlnm.Print_Area" localSheetId="172">'52.1-Utility1'!$A$1:$L$28</definedName>
    <definedName name="_xlnm.Print_Area" localSheetId="195">'52.1-Utility2'!$A$1:$L$28</definedName>
    <definedName name="_xlnm.Print_Area" localSheetId="218">'52.1-Utility3'!$A$1:$L$28</definedName>
    <definedName name="_xlnm.Print_Area" localSheetId="241">'52.1-Utility4'!$A$1:$L$28</definedName>
    <definedName name="_xlnm.Print_Area" localSheetId="264">'52.1-Utility5'!$A$1:$L$28</definedName>
    <definedName name="_xlnm.Print_Area" localSheetId="287">'52.1-Utility6'!$A$1:$L$28</definedName>
    <definedName name="_xlnm.Print_Area" localSheetId="173">'52.2-Utility1'!$A$1:$L$28</definedName>
    <definedName name="_xlnm.Print_Area" localSheetId="196">'52.2-Utility2'!$A$1:$L$28</definedName>
    <definedName name="_xlnm.Print_Area" localSheetId="219">'52.2-Utility3'!$A$1:$L$28</definedName>
    <definedName name="_xlnm.Print_Area" localSheetId="242">'52.2-Utility4'!$A$1:$L$28</definedName>
    <definedName name="_xlnm.Print_Area" localSheetId="265">'52.2-Utility5'!$A$1:$L$28</definedName>
    <definedName name="_xlnm.Print_Area" localSheetId="288">'52.2-Utility6'!$A$1:$L$28</definedName>
    <definedName name="_xlnm.Print_Area" localSheetId="174">'52.3-Utility1'!$A$1:$L$28</definedName>
    <definedName name="_xlnm.Print_Area" localSheetId="197">'52.3-Utility2'!$A$1:$L$28</definedName>
    <definedName name="_xlnm.Print_Area" localSheetId="220">'52.3-Utility3'!$A$1:$L$28</definedName>
    <definedName name="_xlnm.Print_Area" localSheetId="243">'52.3-Utility4'!$A$1:$L$28</definedName>
    <definedName name="_xlnm.Print_Area" localSheetId="266">'52.3-Utility5'!$A$1:$L$28</definedName>
    <definedName name="_xlnm.Print_Area" localSheetId="289">'52.3-Utility6'!$A$1:$L$28</definedName>
    <definedName name="_xlnm.Print_Area" localSheetId="175">'52-Totals-Utility 1'!$A$1:$L$28</definedName>
    <definedName name="_xlnm.Print_Area" localSheetId="198">'52-Totals-Utility2'!$A$1:$L$28</definedName>
    <definedName name="_xlnm.Print_Area" localSheetId="221">'52-Totals-Utility3'!$A$1:$L$28</definedName>
    <definedName name="_xlnm.Print_Area" localSheetId="244">'52-Totals-Utility4'!$A$1:$L$28</definedName>
    <definedName name="_xlnm.Print_Area" localSheetId="267">'52-Totals-Utility5'!$A$1:$L$28</definedName>
    <definedName name="_xlnm.Print_Area" localSheetId="290">'52-Totals-Utility6'!$A$1:$L$28</definedName>
    <definedName name="_xlnm.Print_Area" localSheetId="286">'52-Utility 6'!$A$1:$L$28</definedName>
    <definedName name="_xlnm.Print_Area" localSheetId="171">'52-Utility1'!$A$1:$L$28</definedName>
    <definedName name="_xlnm.Print_Area" localSheetId="194">'52-Utility2'!$A$1:$L$28</definedName>
    <definedName name="_xlnm.Print_Area" localSheetId="217">'52-Utility3'!$A$1:$L$28</definedName>
    <definedName name="_xlnm.Print_Area" localSheetId="240">'52-Utility4'!$A$1:$L$28</definedName>
    <definedName name="_xlnm.Print_Area" localSheetId="263">'52-Utility5'!$A$1:$L$28</definedName>
    <definedName name="_xlnm.Print_Area" localSheetId="176">'53-Utility1'!$A$1:$J$54</definedName>
    <definedName name="_xlnm.Print_Area" localSheetId="199">'53-Utility2'!$A$1:$J$54</definedName>
    <definedName name="_xlnm.Print_Area" localSheetId="222">'53-Utility3'!$A$1:$J$54</definedName>
    <definedName name="_xlnm.Print_Area" localSheetId="245">'53-Utility4'!$A$1:$J$54</definedName>
    <definedName name="_xlnm.Print_Area" localSheetId="268">'53-Utility5'!$A$1:$J$54</definedName>
    <definedName name="_xlnm.Print_Area" localSheetId="291">'53-Utility6'!$A$1:$J$54</definedName>
    <definedName name="_xlnm.Print_Area" localSheetId="177">'54-Utility1'!$A$1:$J$52</definedName>
    <definedName name="_xlnm.Print_Area" localSheetId="200">'54-Utility2'!$A$1:$J$52</definedName>
    <definedName name="_xlnm.Print_Area" localSheetId="223">'54-Utility3'!$A$1:$J$52</definedName>
    <definedName name="_xlnm.Print_Area" localSheetId="246">'54-Utility4'!$A$1:$J$52</definedName>
    <definedName name="_xlnm.Print_Area" localSheetId="269">'54-Utility5'!$A$1:$J$52</definedName>
    <definedName name="_xlnm.Print_Area" localSheetId="292">'54-Utility6'!$A$1:$J$52</definedName>
    <definedName name="_xlnm.Print_Area" localSheetId="13">'5-Trial Bal-Grants'!$A$1:$H$48</definedName>
    <definedName name="_xlnm.Print_Area" localSheetId="15">'6.1-Trial Bal-Trust Fnds'!$A$1:$H$48</definedName>
    <definedName name="_xlnm.Print_Area" localSheetId="16">'6.2-Trial Bal-Trust Fnds'!$A$1:$H$48</definedName>
    <definedName name="_xlnm.Print_Area" localSheetId="17">'6.3-Trial Bal-Trust Fnds'!$A$1:$H$48</definedName>
    <definedName name="_xlnm.Print_Area" localSheetId="18">'6.4-Trial Bal-Trust Fnds'!$A$1:$H$48</definedName>
    <definedName name="_xlnm.Print_Area" localSheetId="19">'6.TOTAL-Trial Bal-Trust Fnds'!$A$1:$H$48</definedName>
    <definedName name="_xlnm.Print_Area" localSheetId="1">'69 - Instructions'!$A$1:$M$87</definedName>
    <definedName name="_xlnm.Print_Area" localSheetId="21">'6b.1-Trust Fund Reserves'!$A$1:$M$50</definedName>
    <definedName name="_xlnm.Print_Area" localSheetId="22">'6b.2-Trust Fund Reserves'!$A$1:$M$50</definedName>
    <definedName name="_xlnm.Print_Area" localSheetId="23">'6b.3-Trust Fund Reserves'!$A$1:$M$50</definedName>
    <definedName name="_xlnm.Print_Area" localSheetId="24">'6b-Total Trust Fund Reserves'!$A$1:$M$50</definedName>
    <definedName name="_xlnm.Print_Area" localSheetId="20">'6b-Trust Fund Reserves'!$A$1:$M$50</definedName>
    <definedName name="_xlnm.Print_Area" localSheetId="14">'6-Trial Bal-Trust Fnds'!$A$1:$H$47</definedName>
    <definedName name="_xlnm.Print_Area" localSheetId="25">'7-Trust Asm Cash &amp; Investments'!$A$1:$L$27</definedName>
    <definedName name="_xlnm.Print_Area" localSheetId="27">'8.1-Trial Bal-Gen Cap Fund'!$A$1:$H$48</definedName>
    <definedName name="_xlnm.Print_Area" localSheetId="26">'8-Trial Bal-Gen Cap Fund'!$A$1:$H$48</definedName>
    <definedName name="_xlnm.Print_Area" localSheetId="33">'9a TOTAL-Cash Reconciliation'!$A$1:$F$49</definedName>
    <definedName name="_xlnm.Print_Area" localSheetId="30">'9a.1-Cash Reconciliation'!$A$1:$F$49</definedName>
    <definedName name="_xlnm.Print_Area" localSheetId="31">'9a.2-Cash Reconciliation'!$A$1:$F$49</definedName>
    <definedName name="_xlnm.Print_Area" localSheetId="32">'9a.3-Cash Reconciliation'!$A$1:$F$49</definedName>
    <definedName name="_xlnm.Print_Area" localSheetId="29">'9a-Cash Reconciliation'!$A$1:$F$49</definedName>
    <definedName name="_xlnm.Print_Area" localSheetId="28">'9-Cash Reconciliation'!$A$1:$I$52</definedName>
    <definedName name="_xlnm.Print_Area" localSheetId="0">Instructions!$A$1:$B$238</definedName>
    <definedName name="_xlnm.Print_Area" localSheetId="2">'KEY INPUTS'!$C$1:$E$60</definedName>
    <definedName name="Z_A64E4C9E_A3DA_4AAA_8607_F524450B9436_.wvu.Cols" localSheetId="4" hidden="1">'1- Cover'!$R:$R,'1- Cover'!$Y:$Y</definedName>
    <definedName name="Z_A64E4C9E_A3DA_4AAA_8607_F524450B9436_.wvu.Cols" localSheetId="5" hidden="1">'1a - RMA Certification'!$Q:$Q,'1a - RMA Certification'!$Y:$Y</definedName>
    <definedName name="Z_A64E4C9E_A3DA_4AAA_8607_F524450B9436_.wvu.Cols" localSheetId="7" hidden="1">'1c - Fed &amp; State Finan Asst.'!$P:$P</definedName>
    <definedName name="Z_A64E4C9E_A3DA_4AAA_8607_F524450B9436_.wvu.Cols" localSheetId="2" hidden="1">'KEY INPUTS'!$A:$B,'KEY INPUTS'!$Q:$AA</definedName>
    <definedName name="Z_A64E4C9E_A3DA_4AAA_8607_F524450B9436_.wvu.FilterData" localSheetId="2" hidden="1">'KEY INPUTS'!$Z$6:$Z$571</definedName>
    <definedName name="Z_A64E4C9E_A3DA_4AAA_8607_F524450B9436_.wvu.PrintArea" localSheetId="4" hidden="1">'1- Cover'!$A$1:$O$67</definedName>
    <definedName name="Z_A64E4C9E_A3DA_4AAA_8607_F524450B9436_.wvu.PrintArea" localSheetId="59" hidden="1">'10 Totals Grants Receivable'!$A$1:$K$27</definedName>
    <definedName name="Z_A64E4C9E_A3DA_4AAA_8607_F524450B9436_.wvu.PrintArea" localSheetId="44" hidden="1">'10.10-Grants Receivable'!$A$1:$K$27</definedName>
    <definedName name="Z_A64E4C9E_A3DA_4AAA_8607_F524450B9436_.wvu.PrintArea" localSheetId="45" hidden="1">'10.11-Grants Receivable'!$A$1:$K$27</definedName>
    <definedName name="Z_A64E4C9E_A3DA_4AAA_8607_F524450B9436_.wvu.PrintArea" localSheetId="46" hidden="1">'10.12-Grants Receivable'!$A$1:$K$27</definedName>
    <definedName name="Z_A64E4C9E_A3DA_4AAA_8607_F524450B9436_.wvu.PrintArea" localSheetId="47" hidden="1">'10.13-Grants Receivable'!$A$1:$K$27</definedName>
    <definedName name="Z_A64E4C9E_A3DA_4AAA_8607_F524450B9436_.wvu.PrintArea" localSheetId="48" hidden="1">'10.14-Grants Receivable'!$A$1:$K$27</definedName>
    <definedName name="Z_A64E4C9E_A3DA_4AAA_8607_F524450B9436_.wvu.PrintArea" localSheetId="49" hidden="1">'10.15-Grants Receivable'!$A$1:$K$27</definedName>
    <definedName name="Z_A64E4C9E_A3DA_4AAA_8607_F524450B9436_.wvu.PrintArea" localSheetId="50" hidden="1">'10.16-Grants Receivable'!$A$1:$K$27</definedName>
    <definedName name="Z_A64E4C9E_A3DA_4AAA_8607_F524450B9436_.wvu.PrintArea" localSheetId="51" hidden="1">'10.17-Grants Receivable'!$A$1:$K$27</definedName>
    <definedName name="Z_A64E4C9E_A3DA_4AAA_8607_F524450B9436_.wvu.PrintArea" localSheetId="52" hidden="1">'10.18-Grants Receivable'!$A$1:$K$27</definedName>
    <definedName name="Z_A64E4C9E_A3DA_4AAA_8607_F524450B9436_.wvu.PrintArea" localSheetId="53" hidden="1">'10.19-Grants Receivable'!$A$1:$K$27</definedName>
    <definedName name="Z_A64E4C9E_A3DA_4AAA_8607_F524450B9436_.wvu.PrintArea" localSheetId="35" hidden="1">'10.1-Grants Receivable'!$A$1:$K$27</definedName>
    <definedName name="Z_A64E4C9E_A3DA_4AAA_8607_F524450B9436_.wvu.PrintArea" localSheetId="54" hidden="1">'10.20-Grants Receivable'!$A$1:$K$27</definedName>
    <definedName name="Z_A64E4C9E_A3DA_4AAA_8607_F524450B9436_.wvu.PrintArea" localSheetId="55" hidden="1">'10.21-Grants Receivable'!$A$1:$K$27</definedName>
    <definedName name="Z_A64E4C9E_A3DA_4AAA_8607_F524450B9436_.wvu.PrintArea" localSheetId="56" hidden="1">'10.22-Grants Receivable'!$A$1:$K$27</definedName>
    <definedName name="Z_A64E4C9E_A3DA_4AAA_8607_F524450B9436_.wvu.PrintArea" localSheetId="57" hidden="1">'10.23-Grants Receivable'!$A$1:$K$27</definedName>
    <definedName name="Z_A64E4C9E_A3DA_4AAA_8607_F524450B9436_.wvu.PrintArea" localSheetId="58" hidden="1">'10.24-Grants Receivable'!$A$1:$K$27</definedName>
    <definedName name="Z_A64E4C9E_A3DA_4AAA_8607_F524450B9436_.wvu.PrintArea" localSheetId="36" hidden="1">'10.2-Grants Receivable'!$A$1:$K$27</definedName>
    <definedName name="Z_A64E4C9E_A3DA_4AAA_8607_F524450B9436_.wvu.PrintArea" localSheetId="37" hidden="1">'10.3-Grants Receivable'!$A$1:$K$27</definedName>
    <definedName name="Z_A64E4C9E_A3DA_4AAA_8607_F524450B9436_.wvu.PrintArea" localSheetId="38" hidden="1">'10.4-Grants Receivable'!$A$1:$K$27</definedName>
    <definedName name="Z_A64E4C9E_A3DA_4AAA_8607_F524450B9436_.wvu.PrintArea" localSheetId="39" hidden="1">'10.5-Grants Receivable'!$A$1:$K$27</definedName>
    <definedName name="Z_A64E4C9E_A3DA_4AAA_8607_F524450B9436_.wvu.PrintArea" localSheetId="40" hidden="1">'10.6-Grants Receivable'!$A$1:$K$27</definedName>
    <definedName name="Z_A64E4C9E_A3DA_4AAA_8607_F524450B9436_.wvu.PrintArea" localSheetId="41" hidden="1">'10.7-Grants Receivable'!$A$1:$K$27</definedName>
    <definedName name="Z_A64E4C9E_A3DA_4AAA_8607_F524450B9436_.wvu.PrintArea" localSheetId="42" hidden="1">'10.8-Grants Receivable'!$A$1:$K$27</definedName>
    <definedName name="Z_A64E4C9E_A3DA_4AAA_8607_F524450B9436_.wvu.PrintArea" localSheetId="43" hidden="1">'10.9-Grants Receivable'!$A$1:$K$27</definedName>
    <definedName name="Z_A64E4C9E_A3DA_4AAA_8607_F524450B9436_.wvu.PrintArea" localSheetId="34" hidden="1">'10-Grants Receivable'!$A$1:$K$27</definedName>
    <definedName name="Z_A64E4C9E_A3DA_4AAA_8607_F524450B9436_.wvu.PrintArea" localSheetId="60" hidden="1">'11 Grants Approp Rsrv'!$A$1:$L$27</definedName>
    <definedName name="Z_A64E4C9E_A3DA_4AAA_8607_F524450B9436_.wvu.PrintArea" localSheetId="100" hidden="1">'11- Totals Grants Approp Rsrv'!$A$1:$L$27</definedName>
    <definedName name="Z_A64E4C9E_A3DA_4AAA_8607_F524450B9436_.wvu.PrintArea" localSheetId="61" hidden="1">'11.1 Grants Approp Rsrv'!$A$1:$L$27</definedName>
    <definedName name="Z_A64E4C9E_A3DA_4AAA_8607_F524450B9436_.wvu.PrintArea" localSheetId="70" hidden="1">'11.10 Grants Approp Rsrv'!$A$1:$L$27</definedName>
    <definedName name="Z_A64E4C9E_A3DA_4AAA_8607_F524450B9436_.wvu.PrintArea" localSheetId="71" hidden="1">'11.11 Grants Approp Rsrv'!$A$1:$L$27</definedName>
    <definedName name="Z_A64E4C9E_A3DA_4AAA_8607_F524450B9436_.wvu.PrintArea" localSheetId="72" hidden="1">'11.12 Grants Approp Rsrv'!$A$1:$L$27</definedName>
    <definedName name="Z_A64E4C9E_A3DA_4AAA_8607_F524450B9436_.wvu.PrintArea" localSheetId="73" hidden="1">'11.13 Grants Approp Rsrv'!$A$1:$L$27</definedName>
    <definedName name="Z_A64E4C9E_A3DA_4AAA_8607_F524450B9436_.wvu.PrintArea" localSheetId="74" hidden="1">'11.14 Grants Approp Rsrv'!$A$1:$L$27</definedName>
    <definedName name="Z_A64E4C9E_A3DA_4AAA_8607_F524450B9436_.wvu.PrintArea" localSheetId="75" hidden="1">'11.15 Grants Approp Rsrv'!$A$1:$L$27</definedName>
    <definedName name="Z_A64E4C9E_A3DA_4AAA_8607_F524450B9436_.wvu.PrintArea" localSheetId="76" hidden="1">'11.16 Grants Approp Rsrv'!$A$1:$L$27</definedName>
    <definedName name="Z_A64E4C9E_A3DA_4AAA_8607_F524450B9436_.wvu.PrintArea" localSheetId="77" hidden="1">'11.17 Grants Approp Rsrv'!$A$1:$L$27</definedName>
    <definedName name="Z_A64E4C9E_A3DA_4AAA_8607_F524450B9436_.wvu.PrintArea" localSheetId="78" hidden="1">'11.18 Grants Approp Rsrv'!$A$1:$L$27</definedName>
    <definedName name="Z_A64E4C9E_A3DA_4AAA_8607_F524450B9436_.wvu.PrintArea" localSheetId="79" hidden="1">'11.19 Grants Approp Rsrv'!$A$1:$L$27</definedName>
    <definedName name="Z_A64E4C9E_A3DA_4AAA_8607_F524450B9436_.wvu.PrintArea" localSheetId="62" hidden="1">'11.2 Grants Approp Rsrv'!$A$1:$L$27</definedName>
    <definedName name="Z_A64E4C9E_A3DA_4AAA_8607_F524450B9436_.wvu.PrintArea" localSheetId="80" hidden="1">'11.20 Grants Approp Rsrv'!$A$1:$L$27</definedName>
    <definedName name="Z_A64E4C9E_A3DA_4AAA_8607_F524450B9436_.wvu.PrintArea" localSheetId="81" hidden="1">'11.21 Grants Approp Rsrv'!$A$1:$L$27</definedName>
    <definedName name="Z_A64E4C9E_A3DA_4AAA_8607_F524450B9436_.wvu.PrintArea" localSheetId="82" hidden="1">'11.22 Grants Approp Rsrv'!$A$1:$L$27</definedName>
    <definedName name="Z_A64E4C9E_A3DA_4AAA_8607_F524450B9436_.wvu.PrintArea" localSheetId="83" hidden="1">'11.23 Grants Approp Rsrv'!$A$1:$L$27</definedName>
    <definedName name="Z_A64E4C9E_A3DA_4AAA_8607_F524450B9436_.wvu.PrintArea" localSheetId="84" hidden="1">'11.24 Grants Approp Rsrv'!$A$1:$L$27</definedName>
    <definedName name="Z_A64E4C9E_A3DA_4AAA_8607_F524450B9436_.wvu.PrintArea" localSheetId="85" hidden="1">'11.25 Grants Approp Rsrv'!$A$1:$L$27</definedName>
    <definedName name="Z_A64E4C9E_A3DA_4AAA_8607_F524450B9436_.wvu.PrintArea" localSheetId="86" hidden="1">'11.26 Grants Approp Rsrv'!$A$1:$L$27</definedName>
    <definedName name="Z_A64E4C9E_A3DA_4AAA_8607_F524450B9436_.wvu.PrintArea" localSheetId="87" hidden="1">'11.27 Grants Approp Rsrv'!$A$1:$L$27</definedName>
    <definedName name="Z_A64E4C9E_A3DA_4AAA_8607_F524450B9436_.wvu.PrintArea" localSheetId="88" hidden="1">'11.28 Grants Approp Rsrv'!$A$1:$L$27</definedName>
    <definedName name="Z_A64E4C9E_A3DA_4AAA_8607_F524450B9436_.wvu.PrintArea" localSheetId="89" hidden="1">'11.29 Grants Approp Rsrv'!$A$1:$L$27</definedName>
    <definedName name="Z_A64E4C9E_A3DA_4AAA_8607_F524450B9436_.wvu.PrintArea" localSheetId="63" hidden="1">'11.3 Grants Approp Rsrv'!$A$1:$L$27</definedName>
    <definedName name="Z_A64E4C9E_A3DA_4AAA_8607_F524450B9436_.wvu.PrintArea" localSheetId="90" hidden="1">'11.30 Grants Approp Rsrv'!$A$1:$L$27</definedName>
    <definedName name="Z_A64E4C9E_A3DA_4AAA_8607_F524450B9436_.wvu.PrintArea" localSheetId="91" hidden="1">'11.31 Grants Approp Rsrv'!$A$1:$L$27</definedName>
    <definedName name="Z_A64E4C9E_A3DA_4AAA_8607_F524450B9436_.wvu.PrintArea" localSheetId="92" hidden="1">'11.32 Grants Approp Rsrv'!$A$1:$L$27</definedName>
    <definedName name="Z_A64E4C9E_A3DA_4AAA_8607_F524450B9436_.wvu.PrintArea" localSheetId="93" hidden="1">'11.33 Grants Approp Rsrv'!$A$1:$L$27</definedName>
    <definedName name="Z_A64E4C9E_A3DA_4AAA_8607_F524450B9436_.wvu.PrintArea" localSheetId="94" hidden="1">'11.34 Grants Approp Rsrv'!$A$1:$L$27</definedName>
    <definedName name="Z_A64E4C9E_A3DA_4AAA_8607_F524450B9436_.wvu.PrintArea" localSheetId="95" hidden="1">'11.35 Grants Approp Rsrv'!$A$1:$L$27</definedName>
    <definedName name="Z_A64E4C9E_A3DA_4AAA_8607_F524450B9436_.wvu.PrintArea" localSheetId="96" hidden="1">'11.36 Grants Approp Rsrv'!$A$1:$L$27</definedName>
    <definedName name="Z_A64E4C9E_A3DA_4AAA_8607_F524450B9436_.wvu.PrintArea" localSheetId="97" hidden="1">'11.37 Grants Approp Rsrv'!$A$1:$L$27</definedName>
    <definedName name="Z_A64E4C9E_A3DA_4AAA_8607_F524450B9436_.wvu.PrintArea" localSheetId="98" hidden="1">'11.38 Grants Approp Rsrv'!$A$1:$L$27</definedName>
    <definedName name="Z_A64E4C9E_A3DA_4AAA_8607_F524450B9436_.wvu.PrintArea" localSheetId="99" hidden="1">'11.39 Grants Approp Rsrv'!$A$1:$L$27</definedName>
    <definedName name="Z_A64E4C9E_A3DA_4AAA_8607_F524450B9436_.wvu.PrintArea" localSheetId="64" hidden="1">'11.4 Grants Approp Rsrv'!$A$1:$L$27</definedName>
    <definedName name="Z_A64E4C9E_A3DA_4AAA_8607_F524450B9436_.wvu.PrintArea" localSheetId="65" hidden="1">'11.5 Grants Approp Rsrv'!$A$1:$L$27</definedName>
    <definedName name="Z_A64E4C9E_A3DA_4AAA_8607_F524450B9436_.wvu.PrintArea" localSheetId="66" hidden="1">'11.6 Grants Approp Rsrv'!$A$1:$L$27</definedName>
    <definedName name="Z_A64E4C9E_A3DA_4AAA_8607_F524450B9436_.wvu.PrintArea" localSheetId="67" hidden="1">'11.7 Grants Approp Rsrv'!$A$1:$L$27</definedName>
    <definedName name="Z_A64E4C9E_A3DA_4AAA_8607_F524450B9436_.wvu.PrintArea" localSheetId="68" hidden="1">'11.8 Grants Approp Rsrv'!$A$1:$L$27</definedName>
    <definedName name="Z_A64E4C9E_A3DA_4AAA_8607_F524450B9436_.wvu.PrintArea" localSheetId="69" hidden="1">'11.9 Grants Approp Rsrv'!$A$1:$L$27</definedName>
    <definedName name="Z_A64E4C9E_A3DA_4AAA_8607_F524450B9436_.wvu.PrintArea" localSheetId="104" hidden="1">'12 Total-Grants Unappropriated'!$A$1:$K$27</definedName>
    <definedName name="Z_A64E4C9E_A3DA_4AAA_8607_F524450B9436_.wvu.PrintArea" localSheetId="102" hidden="1">'12.1-Grants Unappropriated'!$A$1:$K$27</definedName>
    <definedName name="Z_A64E4C9E_A3DA_4AAA_8607_F524450B9436_.wvu.PrintArea" localSheetId="103" hidden="1">'12.2-Grants Unappropriated'!$A$1:$K$27</definedName>
    <definedName name="Z_A64E4C9E_A3DA_4AAA_8607_F524450B9436_.wvu.PrintArea" localSheetId="101" hidden="1">'12-Grants Unappropriated'!$A$1:$K$27</definedName>
    <definedName name="Z_A64E4C9E_A3DA_4AAA_8607_F524450B9436_.wvu.PrintArea" localSheetId="105" hidden="1">'13-Other Taxes'!$A$1:$H$51</definedName>
    <definedName name="Z_A64E4C9E_A3DA_4AAA_8607_F524450B9436_.wvu.PrintArea" localSheetId="106" hidden="1">'14-Other Taxes'!$A$1:$H$52</definedName>
    <definedName name="Z_A64E4C9E_A3DA_4AAA_8607_F524450B9436_.wvu.PrintArea" localSheetId="107" hidden="1">'15-Other Taxes'!$A$1:$J$47</definedName>
    <definedName name="Z_A64E4C9E_A3DA_4AAA_8607_F524450B9436_.wvu.PrintArea" localSheetId="113" hidden="1">'17a Totals-Budget Revenues'!$A$1:$J$49</definedName>
    <definedName name="Z_A64E4C9E_A3DA_4AAA_8607_F524450B9436_.wvu.PrintArea" localSheetId="110" hidden="1">'17a.1-Budget Revenues '!$A$1:$J$49</definedName>
    <definedName name="Z_A64E4C9E_A3DA_4AAA_8607_F524450B9436_.wvu.PrintArea" localSheetId="111" hidden="1">'17a.2-Budget Revenues'!$A$1:$J$49</definedName>
    <definedName name="Z_A64E4C9E_A3DA_4AAA_8607_F524450B9436_.wvu.PrintArea" localSheetId="112" hidden="1">'17a.3-Budget Revenues'!$A$1:$J$49</definedName>
    <definedName name="Z_A64E4C9E_A3DA_4AAA_8607_F524450B9436_.wvu.PrintArea" localSheetId="109" hidden="1">'17a-Budget Revenues'!$A$1:$J$49</definedName>
    <definedName name="Z_A64E4C9E_A3DA_4AAA_8607_F524450B9436_.wvu.PrintArea" localSheetId="108" hidden="1">'17-Budget Revenues'!$A$1:$J$50</definedName>
    <definedName name="Z_A64E4C9E_A3DA_4AAA_8607_F524450B9436_.wvu.PrintArea" localSheetId="114" hidden="1">'18-Budget Appropriations'!$A$1:$J$54</definedName>
    <definedName name="Z_A64E4C9E_A3DA_4AAA_8607_F524450B9436_.wvu.PrintArea" localSheetId="115" hidden="1">'19-Results of Op-Cur Fnd'!$A$1:$I$48</definedName>
    <definedName name="Z_A64E4C9E_A3DA_4AAA_8607_F524450B9436_.wvu.PrintArea" localSheetId="5" hidden="1">'1a - RMA Certification'!$A$1:$N$70</definedName>
    <definedName name="Z_A64E4C9E_A3DA_4AAA_8607_F524450B9436_.wvu.PrintArea" localSheetId="6" hidden="1">'1b - Local Exam Qual Cert'!$A$1:$M$68</definedName>
    <definedName name="Z_A64E4C9E_A3DA_4AAA_8607_F524450B9436_.wvu.PrintArea" localSheetId="7" hidden="1">'1c - Fed &amp; State Finan Asst.'!$A$1:$M$71</definedName>
    <definedName name="Z_A64E4C9E_A3DA_4AAA_8607_F524450B9436_.wvu.PrintArea" localSheetId="8" hidden="1">'2 - No Utility Fund Cert'!$A$1:$M$59</definedName>
    <definedName name="Z_A64E4C9E_A3DA_4AAA_8607_F524450B9436_.wvu.PrintArea" localSheetId="118" hidden="1">'20 Total-Misc Rev Not Ant'!$A$1:$H$47</definedName>
    <definedName name="Z_A64E4C9E_A3DA_4AAA_8607_F524450B9436_.wvu.PrintArea" localSheetId="117" hidden="1">'20.1-Misc Rev Not Ant'!$A$1:$H$47</definedName>
    <definedName name="Z_A64E4C9E_A3DA_4AAA_8607_F524450B9436_.wvu.PrintArea" localSheetId="116" hidden="1">'20-Misc Rev Not Ant'!$A$1:$H$47</definedName>
    <definedName name="Z_A64E4C9E_A3DA_4AAA_8607_F524450B9436_.wvu.PrintArea" localSheetId="119" hidden="1">'21-Current Fund Surplus'!$A$1:$L$50</definedName>
    <definedName name="Z_A64E4C9E_A3DA_4AAA_8607_F524450B9436_.wvu.PrintArea" localSheetId="120" hidden="1">'22-2019 Levy'!$A$1:$N$63</definedName>
    <definedName name="Z_A64E4C9E_A3DA_4AAA_8607_F524450B9436_.wvu.PrintArea" localSheetId="121" hidden="1">'22a-Tax Levy Sale'!$A$1:$K$61</definedName>
    <definedName name="Z_A64E4C9E_A3DA_4AAA_8607_F524450B9436_.wvu.PrintArea" localSheetId="122" hidden="1">'23-SCVet Deductions'!$A$1:$J$54</definedName>
    <definedName name="Z_A64E4C9E_A3DA_4AAA_8607_F524450B9436_.wvu.PrintArea" localSheetId="123" hidden="1">'24-Reserves for Tax Appeals'!$A$1:$J$60</definedName>
    <definedName name="Z_A64E4C9E_A3DA_4AAA_8607_F524450B9436_.wvu.PrintArea" localSheetId="124" hidden="1">'26-Delinquent Taxes and Liens'!$A$1:$M$49</definedName>
    <definedName name="Z_A64E4C9E_A3DA_4AAA_8607_F524450B9436_.wvu.PrintArea" localSheetId="125" hidden="1">'27-Foreclosed Property'!$A$1:$L$50</definedName>
    <definedName name="Z_A64E4C9E_A3DA_4AAA_8607_F524450B9436_.wvu.PrintArea" localSheetId="126" hidden="1">'28-Deferred Charges'!$A$1:$N$58</definedName>
    <definedName name="Z_A64E4C9E_A3DA_4AAA_8607_F524450B9436_.wvu.PrintArea" localSheetId="127" hidden="1">'29-Special Emergency'!$A$1:$L$30</definedName>
    <definedName name="Z_A64E4C9E_A3DA_4AAA_8607_F524450B9436_.wvu.PrintArea" localSheetId="128" hidden="1">'30-Special Emergency'!$A$1:$L$30</definedName>
    <definedName name="Z_A64E4C9E_A3DA_4AAA_8607_F524450B9436_.wvu.PrintArea" localSheetId="131" hidden="1">'31A.1-Loan Schedule'!$A$1:$L$47</definedName>
    <definedName name="Z_A64E4C9E_A3DA_4AAA_8607_F524450B9436_.wvu.PrintArea" localSheetId="132" hidden="1">'31A.2-Loan Schedule'!$A$1:$L$47</definedName>
    <definedName name="Z_A64E4C9E_A3DA_4AAA_8607_F524450B9436_.wvu.PrintArea" localSheetId="130" hidden="1">'31A-Loan Schedule'!$A$1:$L$47</definedName>
    <definedName name="Z_A64E4C9E_A3DA_4AAA_8607_F524450B9436_.wvu.PrintArea" localSheetId="129" hidden="1">'31-Capital Bond Schedule'!$A$1:$L$47</definedName>
    <definedName name="Z_A64E4C9E_A3DA_4AAA_8607_F524450B9436_.wvu.PrintArea" localSheetId="133" hidden="1">'32-Bond Schedule'!$A$1:$L$48</definedName>
    <definedName name="Z_A64E4C9E_A3DA_4AAA_8607_F524450B9436_.wvu.PrintArea" localSheetId="136" hidden="1">'33 Totals-Note Debt Service'!$A$1:$L$29</definedName>
    <definedName name="Z_A64E4C9E_A3DA_4AAA_8607_F524450B9436_.wvu.PrintArea" localSheetId="135" hidden="1">'33.1-Note Debt Service'!$A$1:$L$29</definedName>
    <definedName name="Z_A64E4C9E_A3DA_4AAA_8607_F524450B9436_.wvu.PrintArea" localSheetId="134" hidden="1">'33-Note Debt Service'!$A$1:$L$29</definedName>
    <definedName name="Z_A64E4C9E_A3DA_4AAA_8607_F524450B9436_.wvu.PrintArea" localSheetId="138" hidden="1">'34a-Cap Lease Program Oblg'!$A$1:$I$27</definedName>
    <definedName name="Z_A64E4C9E_A3DA_4AAA_8607_F524450B9436_.wvu.PrintArea" localSheetId="137" hidden="1">'34-Assmt Note Debt Service'!$A$1:$L$29</definedName>
    <definedName name="Z_A64E4C9E_A3DA_4AAA_8607_F524450B9436_.wvu.PrintArea" localSheetId="139" hidden="1">'35- Cap Fund Imprv Auth'!$A$1:$L$29</definedName>
    <definedName name="Z_A64E4C9E_A3DA_4AAA_8607_F524450B9436_.wvu.PrintArea" localSheetId="149" hidden="1">'35 Totals- Cap Fund Imprv Auth'!$A$1:$L$29</definedName>
    <definedName name="Z_A64E4C9E_A3DA_4AAA_8607_F524450B9436_.wvu.PrintArea" localSheetId="140" hidden="1">'35.1- Cap Fund Imprv Auth '!$A$1:$L$29</definedName>
    <definedName name="Z_A64E4C9E_A3DA_4AAA_8607_F524450B9436_.wvu.PrintArea" localSheetId="141" hidden="1">'35.2- Cap Fund Imprv Auth'!$A$1:$L$29</definedName>
    <definedName name="Z_A64E4C9E_A3DA_4AAA_8607_F524450B9436_.wvu.PrintArea" localSheetId="142" hidden="1">'35.3- Cap Fund Imprv Auth'!$A$1:$L$29</definedName>
    <definedName name="Z_A64E4C9E_A3DA_4AAA_8607_F524450B9436_.wvu.PrintArea" localSheetId="143" hidden="1">'35.4- Cap Fund Imprv Auth'!$A$1:$L$29</definedName>
    <definedName name="Z_A64E4C9E_A3DA_4AAA_8607_F524450B9436_.wvu.PrintArea" localSheetId="144" hidden="1">'35.5- Cap Fund Imprv Auth'!$A$1:$L$29</definedName>
    <definedName name="Z_A64E4C9E_A3DA_4AAA_8607_F524450B9436_.wvu.PrintArea" localSheetId="145" hidden="1">'35.6- Cap Fund Imprv Auth'!$A$1:$L$29</definedName>
    <definedName name="Z_A64E4C9E_A3DA_4AAA_8607_F524450B9436_.wvu.PrintArea" localSheetId="146" hidden="1">'35.7- Cap Fund Imprv Auth'!$A$1:$L$29</definedName>
    <definedName name="Z_A64E4C9E_A3DA_4AAA_8607_F524450B9436_.wvu.PrintArea" localSheetId="147" hidden="1">'35.8- Cap Fund Imprv Auth'!$A$1:$L$29</definedName>
    <definedName name="Z_A64E4C9E_A3DA_4AAA_8607_F524450B9436_.wvu.PrintArea" localSheetId="148" hidden="1">'35.9- Cap Fund Imprv Auth'!$A$1:$L$29</definedName>
    <definedName name="Z_A64E4C9E_A3DA_4AAA_8607_F524450B9436_.wvu.PrintArea" localSheetId="150" hidden="1">'36- Capital Improvement Fund'!$A$1:$J$54</definedName>
    <definedName name="Z_A64E4C9E_A3DA_4AAA_8607_F524450B9436_.wvu.PrintArea" localSheetId="151" hidden="1">'37- Cap Fund Down Pymts'!$A$1:$J$54</definedName>
    <definedName name="Z_A64E4C9E_A3DA_4AAA_8607_F524450B9436_.wvu.PrintArea" localSheetId="152" hidden="1">'38- Capital Surplus'!$A$1:$J$62</definedName>
    <definedName name="Z_A64E4C9E_A3DA_4AAA_8607_F524450B9436_.wvu.PrintArea" localSheetId="153" hidden="1">'39- Req. Information'!$A$1:$Q$66</definedName>
    <definedName name="Z_A64E4C9E_A3DA_4AAA_8607_F524450B9436_.wvu.PrintArea" localSheetId="11" hidden="1">'3a.1-Trial Bal-Current Fund'!$A$1:$I$48</definedName>
    <definedName name="Z_A64E4C9E_A3DA_4AAA_8607_F524450B9436_.wvu.PrintArea" localSheetId="10" hidden="1">'3a-Trial Bal-Current Fund'!$A$1:$I$48</definedName>
    <definedName name="Z_A64E4C9E_A3DA_4AAA_8607_F524450B9436_.wvu.PrintArea" localSheetId="9" hidden="1">'3-Trial Bal-Current Fund'!$A$1:$H$48</definedName>
    <definedName name="Z_A64E4C9E_A3DA_4AAA_8607_F524450B9436_.wvu.PrintArea" localSheetId="154" hidden="1">'40'!$A$1:$K$68</definedName>
    <definedName name="Z_A64E4C9E_A3DA_4AAA_8607_F524450B9436_.wvu.PrintArea" localSheetId="157" hidden="1">'41a.1-Utility1'!$A$1:$H$50</definedName>
    <definedName name="Z_A64E4C9E_A3DA_4AAA_8607_F524450B9436_.wvu.PrintArea" localSheetId="180" hidden="1">'41a.1-Utility2'!$A$1:$H$50</definedName>
    <definedName name="Z_A64E4C9E_A3DA_4AAA_8607_F524450B9436_.wvu.PrintArea" localSheetId="203" hidden="1">'41a.1-Utility3'!$A$1:$H$50</definedName>
    <definedName name="Z_A64E4C9E_A3DA_4AAA_8607_F524450B9436_.wvu.PrintArea" localSheetId="226" hidden="1">'41a.1-Utility4'!$A$1:$H$50</definedName>
    <definedName name="Z_A64E4C9E_A3DA_4AAA_8607_F524450B9436_.wvu.PrintArea" localSheetId="249" hidden="1">'41a.1-Utility5'!$A$1:$H$50</definedName>
    <definedName name="Z_A64E4C9E_A3DA_4AAA_8607_F524450B9436_.wvu.PrintArea" localSheetId="272" hidden="1">'41a.1-Utility6'!$A$1:$H$50</definedName>
    <definedName name="Z_A64E4C9E_A3DA_4AAA_8607_F524450B9436_.wvu.PrintArea" localSheetId="156" hidden="1">'41a-Utility1'!$A$1:$H$50</definedName>
    <definedName name="Z_A64E4C9E_A3DA_4AAA_8607_F524450B9436_.wvu.PrintArea" localSheetId="179" hidden="1">'41a-Utility2'!$A$1:$H$50</definedName>
    <definedName name="Z_A64E4C9E_A3DA_4AAA_8607_F524450B9436_.wvu.PrintArea" localSheetId="202" hidden="1">'41a-Utility3'!$A$1:$H$50</definedName>
    <definedName name="Z_A64E4C9E_A3DA_4AAA_8607_F524450B9436_.wvu.PrintArea" localSheetId="225" hidden="1">'41a-Utility4'!$A$1:$H$50</definedName>
    <definedName name="Z_A64E4C9E_A3DA_4AAA_8607_F524450B9436_.wvu.PrintArea" localSheetId="248" hidden="1">'41a-Utility5'!$A$1:$H$50</definedName>
    <definedName name="Z_A64E4C9E_A3DA_4AAA_8607_F524450B9436_.wvu.PrintArea" localSheetId="271" hidden="1">'41a-Utility6'!$A$1:$H$50</definedName>
    <definedName name="Z_A64E4C9E_A3DA_4AAA_8607_F524450B9436_.wvu.PrintArea" localSheetId="155" hidden="1">'41-Utility1 '!$A$1:$I$50</definedName>
    <definedName name="Z_A64E4C9E_A3DA_4AAA_8607_F524450B9436_.wvu.PrintArea" localSheetId="178" hidden="1">'41-Utility2'!$A$1:$I$50</definedName>
    <definedName name="Z_A64E4C9E_A3DA_4AAA_8607_F524450B9436_.wvu.PrintArea" localSheetId="201" hidden="1">'41-Utility3'!$A$1:$I$50</definedName>
    <definedName name="Z_A64E4C9E_A3DA_4AAA_8607_F524450B9436_.wvu.PrintArea" localSheetId="224" hidden="1">'41-Utility4'!$A$1:$I$50</definedName>
    <definedName name="Z_A64E4C9E_A3DA_4AAA_8607_F524450B9436_.wvu.PrintArea" localSheetId="247" hidden="1">'41-Utility5'!$A$1:$I$50</definedName>
    <definedName name="Z_A64E4C9E_A3DA_4AAA_8607_F524450B9436_.wvu.PrintArea" localSheetId="270" hidden="1">'41-Utility6'!$A$1:$I$50</definedName>
    <definedName name="Z_A64E4C9E_A3DA_4AAA_8607_F524450B9436_.wvu.PrintArea" localSheetId="158" hidden="1">'42-Utility1'!$A$1:$H$49</definedName>
    <definedName name="Z_A64E4C9E_A3DA_4AAA_8607_F524450B9436_.wvu.PrintArea" localSheetId="181" hidden="1">'42-Utility2'!$A$1:$H$49</definedName>
    <definedName name="Z_A64E4C9E_A3DA_4AAA_8607_F524450B9436_.wvu.PrintArea" localSheetId="204" hidden="1">'42-Utility3'!$A$1:$H$49</definedName>
    <definedName name="Z_A64E4C9E_A3DA_4AAA_8607_F524450B9436_.wvu.PrintArea" localSheetId="227" hidden="1">'42-Utility4'!$A$1:$H$49</definedName>
    <definedName name="Z_A64E4C9E_A3DA_4AAA_8607_F524450B9436_.wvu.PrintArea" localSheetId="250" hidden="1">'42-Utility5'!$A$1:$H$49</definedName>
    <definedName name="Z_A64E4C9E_A3DA_4AAA_8607_F524450B9436_.wvu.PrintArea" localSheetId="273" hidden="1">'42-Utility6'!$A$1:$H$49</definedName>
    <definedName name="Z_A64E4C9E_A3DA_4AAA_8607_F524450B9436_.wvu.PrintArea" localSheetId="159" hidden="1">'43-Utility1'!$A$1:$L$27</definedName>
    <definedName name="Z_A64E4C9E_A3DA_4AAA_8607_F524450B9436_.wvu.PrintArea" localSheetId="182" hidden="1">'43-Utility2'!$A$1:$L$27</definedName>
    <definedName name="Z_A64E4C9E_A3DA_4AAA_8607_F524450B9436_.wvu.PrintArea" localSheetId="205" hidden="1">'43-Utility3'!$A$1:$L$27</definedName>
    <definedName name="Z_A64E4C9E_A3DA_4AAA_8607_F524450B9436_.wvu.PrintArea" localSheetId="228" hidden="1">'43-Utility4'!$A$1:$L$27</definedName>
    <definedName name="Z_A64E4C9E_A3DA_4AAA_8607_F524450B9436_.wvu.PrintArea" localSheetId="251" hidden="1">'43-Utility5'!$A$1:$L$27</definedName>
    <definedName name="Z_A64E4C9E_A3DA_4AAA_8607_F524450B9436_.wvu.PrintArea" localSheetId="274" hidden="1">'43-Utility6'!$A$1:$L$27</definedName>
    <definedName name="Z_A64E4C9E_A3DA_4AAA_8607_F524450B9436_.wvu.PrintArea" localSheetId="160" hidden="1">'44-Utility1'!$A$1:$J$55</definedName>
    <definedName name="Z_A64E4C9E_A3DA_4AAA_8607_F524450B9436_.wvu.PrintArea" localSheetId="183" hidden="1">'44-Utility2'!$A$1:$J$55</definedName>
    <definedName name="Z_A64E4C9E_A3DA_4AAA_8607_F524450B9436_.wvu.PrintArea" localSheetId="206" hidden="1">'44-Utility3'!$A$1:$J$55</definedName>
    <definedName name="Z_A64E4C9E_A3DA_4AAA_8607_F524450B9436_.wvu.PrintArea" localSheetId="229" hidden="1">'44-Utility4'!$A$1:$J$55</definedName>
    <definedName name="Z_A64E4C9E_A3DA_4AAA_8607_F524450B9436_.wvu.PrintArea" localSheetId="252" hidden="1">'44-Utility5'!$A$1:$J$55</definedName>
    <definedName name="Z_A64E4C9E_A3DA_4AAA_8607_F524450B9436_.wvu.PrintArea" localSheetId="275" hidden="1">'44-Utility6'!$A$1:$J$55</definedName>
    <definedName name="Z_A64E4C9E_A3DA_4AAA_8607_F524450B9436_.wvu.PrintArea" localSheetId="161" hidden="1">'45-Utility1'!$A$1:$K$57</definedName>
    <definedName name="Z_A64E4C9E_A3DA_4AAA_8607_F524450B9436_.wvu.PrintArea" localSheetId="184" hidden="1">'45-Utility2'!$A$1:$K$57</definedName>
    <definedName name="Z_A64E4C9E_A3DA_4AAA_8607_F524450B9436_.wvu.PrintArea" localSheetId="207" hidden="1">'45-Utility3'!$A$1:$K$57</definedName>
    <definedName name="Z_A64E4C9E_A3DA_4AAA_8607_F524450B9436_.wvu.PrintArea" localSheetId="230" hidden="1">'45-Utility4'!$A$1:$K$57</definedName>
    <definedName name="Z_A64E4C9E_A3DA_4AAA_8607_F524450B9436_.wvu.PrintArea" localSheetId="253" hidden="1">'45-Utility5'!$A$1:$K$57</definedName>
    <definedName name="Z_A64E4C9E_A3DA_4AAA_8607_F524450B9436_.wvu.PrintArea" localSheetId="276" hidden="1">'45-Utility6'!$A$1:$K$57</definedName>
    <definedName name="Z_A64E4C9E_A3DA_4AAA_8607_F524450B9436_.wvu.PrintArea" localSheetId="162" hidden="1">'46-Utility1'!$A$1:$L$52</definedName>
    <definedName name="Z_A64E4C9E_A3DA_4AAA_8607_F524450B9436_.wvu.PrintArea" localSheetId="185" hidden="1">'46-Utility2 '!$A$1:$L$52</definedName>
    <definedName name="Z_A64E4C9E_A3DA_4AAA_8607_F524450B9436_.wvu.PrintArea" localSheetId="208" hidden="1">'46-Utility3'!$A$1:$L$52</definedName>
    <definedName name="Z_A64E4C9E_A3DA_4AAA_8607_F524450B9436_.wvu.PrintArea" localSheetId="231" hidden="1">'46-Utility4'!$A$1:$L$52</definedName>
    <definedName name="Z_A64E4C9E_A3DA_4AAA_8607_F524450B9436_.wvu.PrintArea" localSheetId="254" hidden="1">'46-Utility5'!$A$1:$L$52</definedName>
    <definedName name="Z_A64E4C9E_A3DA_4AAA_8607_F524450B9436_.wvu.PrintArea" localSheetId="277" hidden="1">'46-Utility6'!$A$1:$L$52</definedName>
    <definedName name="Z_A64E4C9E_A3DA_4AAA_8607_F524450B9436_.wvu.PrintArea" localSheetId="163" hidden="1">'47-Utility1'!$A$1:$L$69</definedName>
    <definedName name="Z_A64E4C9E_A3DA_4AAA_8607_F524450B9436_.wvu.PrintArea" localSheetId="186" hidden="1">'47-Utility2'!$A$1:$L$69</definedName>
    <definedName name="Z_A64E4C9E_A3DA_4AAA_8607_F524450B9436_.wvu.PrintArea" localSheetId="209" hidden="1">'47-Utility3'!$A$1:$L$69</definedName>
    <definedName name="Z_A64E4C9E_A3DA_4AAA_8607_F524450B9436_.wvu.PrintArea" localSheetId="232" hidden="1">'47-Utility4'!$A$1:$L$69</definedName>
    <definedName name="Z_A64E4C9E_A3DA_4AAA_8607_F524450B9436_.wvu.PrintArea" localSheetId="255" hidden="1">'47-Utility5'!$A$1:$L$69</definedName>
    <definedName name="Z_A64E4C9E_A3DA_4AAA_8607_F524450B9436_.wvu.PrintArea" localSheetId="278" hidden="1">'47-Utility6'!$A$1:$L$69</definedName>
    <definedName name="Z_A64E4C9E_A3DA_4AAA_8607_F524450B9436_.wvu.PrintArea" localSheetId="164" hidden="1">'48-Utility1'!$A$1:$N$61</definedName>
    <definedName name="Z_A64E4C9E_A3DA_4AAA_8607_F524450B9436_.wvu.PrintArea" localSheetId="187" hidden="1">'48-Utility2'!$A$1:$N$61</definedName>
    <definedName name="Z_A64E4C9E_A3DA_4AAA_8607_F524450B9436_.wvu.PrintArea" localSheetId="210" hidden="1">'48-Utility3'!$A$1:$N$61</definedName>
    <definedName name="Z_A64E4C9E_A3DA_4AAA_8607_F524450B9436_.wvu.PrintArea" localSheetId="233" hidden="1">'48-Utility4'!$A$1:$N$61</definedName>
    <definedName name="Z_A64E4C9E_A3DA_4AAA_8607_F524450B9436_.wvu.PrintArea" localSheetId="256" hidden="1">'48-Utility5'!$A$1:$N$61</definedName>
    <definedName name="Z_A64E4C9E_A3DA_4AAA_8607_F524450B9436_.wvu.PrintArea" localSheetId="279" hidden="1">'48-Utility6'!$A$1:$N$61</definedName>
    <definedName name="Z_A64E4C9E_A3DA_4AAA_8607_F524450B9436_.wvu.PrintArea" localSheetId="167" hidden="1">'49a.1-Utility1'!$A$1:$L$51</definedName>
    <definedName name="Z_A64E4C9E_A3DA_4AAA_8607_F524450B9436_.wvu.PrintArea" localSheetId="190" hidden="1">'49a.1-Utility2 '!$A$1:$L$51</definedName>
    <definedName name="Z_A64E4C9E_A3DA_4AAA_8607_F524450B9436_.wvu.PrintArea" localSheetId="213" hidden="1">'49a.1-Utility3'!$A$1:$L$51</definedName>
    <definedName name="Z_A64E4C9E_A3DA_4AAA_8607_F524450B9436_.wvu.PrintArea" localSheetId="236" hidden="1">'49a.1-Utility4'!$A$1:$L$51</definedName>
    <definedName name="Z_A64E4C9E_A3DA_4AAA_8607_F524450B9436_.wvu.PrintArea" localSheetId="259" hidden="1">'49a.1-Utility5'!$A$1:$L$51</definedName>
    <definedName name="Z_A64E4C9E_A3DA_4AAA_8607_F524450B9436_.wvu.PrintArea" localSheetId="282" hidden="1">'49a.1-Utility6'!$A$1:$L$51</definedName>
    <definedName name="Z_A64E4C9E_A3DA_4AAA_8607_F524450B9436_.wvu.PrintArea" localSheetId="166" hidden="1">'49a-Utility1'!$A$1:$L$51</definedName>
    <definedName name="Z_A64E4C9E_A3DA_4AAA_8607_F524450B9436_.wvu.PrintArea" localSheetId="189" hidden="1">'49a-Utility2'!$A$1:$L$51</definedName>
    <definedName name="Z_A64E4C9E_A3DA_4AAA_8607_F524450B9436_.wvu.PrintArea" localSheetId="212" hidden="1">'49a-Utility3'!$A$1:$L$51</definedName>
    <definedName name="Z_A64E4C9E_A3DA_4AAA_8607_F524450B9436_.wvu.PrintArea" localSheetId="235" hidden="1">'49a-Utility4'!$A$1:$L$51</definedName>
    <definedName name="Z_A64E4C9E_A3DA_4AAA_8607_F524450B9436_.wvu.PrintArea" localSheetId="258" hidden="1">'49a-Utility5'!$A$1:$L$51</definedName>
    <definedName name="Z_A64E4C9E_A3DA_4AAA_8607_F524450B9436_.wvu.PrintArea" localSheetId="281" hidden="1">'49a-Utility6'!$A$1:$L$51</definedName>
    <definedName name="Z_A64E4C9E_A3DA_4AAA_8607_F524450B9436_.wvu.PrintArea" localSheetId="165" hidden="1">'49-Utility1'!$A$1:$L$50</definedName>
    <definedName name="Z_A64E4C9E_A3DA_4AAA_8607_F524450B9436_.wvu.PrintArea" localSheetId="188" hidden="1">'49-Utility2'!$A$1:$L$50</definedName>
    <definedName name="Z_A64E4C9E_A3DA_4AAA_8607_F524450B9436_.wvu.PrintArea" localSheetId="211" hidden="1">'49-Utility3'!$A$1:$L$50</definedName>
    <definedName name="Z_A64E4C9E_A3DA_4AAA_8607_F524450B9436_.wvu.PrintArea" localSheetId="234" hidden="1">'49-Utility4'!$A$1:$L$50</definedName>
    <definedName name="Z_A64E4C9E_A3DA_4AAA_8607_F524450B9436_.wvu.PrintArea" localSheetId="257" hidden="1">'49-Utility5'!$A$1:$L$50</definedName>
    <definedName name="Z_A64E4C9E_A3DA_4AAA_8607_F524450B9436_.wvu.PrintArea" localSheetId="280" hidden="1">'49-Utility6'!$A$1:$L$50</definedName>
    <definedName name="Z_A64E4C9E_A3DA_4AAA_8607_F524450B9436_.wvu.PrintArea" localSheetId="12" hidden="1">'4-Trial Bal-Pub Assist Fnd'!$A$1:$H$46</definedName>
    <definedName name="Z_A64E4C9E_A3DA_4AAA_8607_F524450B9436_.wvu.PrintArea" localSheetId="168" hidden="1">'50-Utility1'!$A$1:$M$30</definedName>
    <definedName name="Z_A64E4C9E_A3DA_4AAA_8607_F524450B9436_.wvu.PrintArea" localSheetId="191" hidden="1">'50-Utility2'!$A$1:$M$30</definedName>
    <definedName name="Z_A64E4C9E_A3DA_4AAA_8607_F524450B9436_.wvu.PrintArea" localSheetId="214" hidden="1">'50-Utility3'!$A$1:$M$30</definedName>
    <definedName name="Z_A64E4C9E_A3DA_4AAA_8607_F524450B9436_.wvu.PrintArea" localSheetId="237" hidden="1">'50-Utility4'!$A$1:$M$30</definedName>
    <definedName name="Z_A64E4C9E_A3DA_4AAA_8607_F524450B9436_.wvu.PrintArea" localSheetId="260" hidden="1">'50-Utility5'!$A$1:$M$30</definedName>
    <definedName name="Z_A64E4C9E_A3DA_4AAA_8607_F524450B9436_.wvu.PrintArea" localSheetId="283" hidden="1">'50-Utility6'!$A$1:$M$30</definedName>
    <definedName name="Z_A64E4C9E_A3DA_4AAA_8607_F524450B9436_.wvu.PrintArea" localSheetId="170" hidden="1">'51a-Utility1'!$A$1:$I$27</definedName>
    <definedName name="Z_A64E4C9E_A3DA_4AAA_8607_F524450B9436_.wvu.PrintArea" localSheetId="193" hidden="1">'51a-Utility2'!$A$1:$I$27</definedName>
    <definedName name="Z_A64E4C9E_A3DA_4AAA_8607_F524450B9436_.wvu.PrintArea" localSheetId="216" hidden="1">'51a-Utility3'!$A$1:$I$27</definedName>
    <definedName name="Z_A64E4C9E_A3DA_4AAA_8607_F524450B9436_.wvu.PrintArea" localSheetId="239" hidden="1">'51a-Utility4'!$A$1:$I$27</definedName>
    <definedName name="Z_A64E4C9E_A3DA_4AAA_8607_F524450B9436_.wvu.PrintArea" localSheetId="262" hidden="1">'51a-Utility5'!$A$1:$I$27</definedName>
    <definedName name="Z_A64E4C9E_A3DA_4AAA_8607_F524450B9436_.wvu.PrintArea" localSheetId="285" hidden="1">'51a-Utility6'!$A$1:$I$27</definedName>
    <definedName name="Z_A64E4C9E_A3DA_4AAA_8607_F524450B9436_.wvu.PrintArea" localSheetId="169" hidden="1">'51-Utility1'!$A$1:$L$29</definedName>
    <definedName name="Z_A64E4C9E_A3DA_4AAA_8607_F524450B9436_.wvu.PrintArea" localSheetId="192" hidden="1">'51-Utility2'!$A$1:$L$29</definedName>
    <definedName name="Z_A64E4C9E_A3DA_4AAA_8607_F524450B9436_.wvu.PrintArea" localSheetId="215" hidden="1">'51-Utility3'!$A$1:$L$29</definedName>
    <definedName name="Z_A64E4C9E_A3DA_4AAA_8607_F524450B9436_.wvu.PrintArea" localSheetId="238" hidden="1">'51-Utility4'!$A$1:$L$29</definedName>
    <definedName name="Z_A64E4C9E_A3DA_4AAA_8607_F524450B9436_.wvu.PrintArea" localSheetId="261" hidden="1">'51-Utility5'!$A$1:$L$29</definedName>
    <definedName name="Z_A64E4C9E_A3DA_4AAA_8607_F524450B9436_.wvu.PrintArea" localSheetId="284" hidden="1">'51-Utility6'!$A$1:$L$29</definedName>
    <definedName name="Z_A64E4C9E_A3DA_4AAA_8607_F524450B9436_.wvu.PrintArea" localSheetId="172" hidden="1">'52.1-Utility1'!$A$1:$L$28</definedName>
    <definedName name="Z_A64E4C9E_A3DA_4AAA_8607_F524450B9436_.wvu.PrintArea" localSheetId="195" hidden="1">'52.1-Utility2'!$A$1:$L$28</definedName>
    <definedName name="Z_A64E4C9E_A3DA_4AAA_8607_F524450B9436_.wvu.PrintArea" localSheetId="218" hidden="1">'52.1-Utility3'!$A$1:$L$28</definedName>
    <definedName name="Z_A64E4C9E_A3DA_4AAA_8607_F524450B9436_.wvu.PrintArea" localSheetId="241" hidden="1">'52.1-Utility4'!$A$1:$L$28</definedName>
    <definedName name="Z_A64E4C9E_A3DA_4AAA_8607_F524450B9436_.wvu.PrintArea" localSheetId="264" hidden="1">'52.1-Utility5'!$A$1:$L$28</definedName>
    <definedName name="Z_A64E4C9E_A3DA_4AAA_8607_F524450B9436_.wvu.PrintArea" localSheetId="287" hidden="1">'52.1-Utility6'!$A$1:$L$28</definedName>
    <definedName name="Z_A64E4C9E_A3DA_4AAA_8607_F524450B9436_.wvu.PrintArea" localSheetId="173" hidden="1">'52.2-Utility1'!$A$1:$L$28</definedName>
    <definedName name="Z_A64E4C9E_A3DA_4AAA_8607_F524450B9436_.wvu.PrintArea" localSheetId="196" hidden="1">'52.2-Utility2'!$A$1:$L$28</definedName>
    <definedName name="Z_A64E4C9E_A3DA_4AAA_8607_F524450B9436_.wvu.PrintArea" localSheetId="219" hidden="1">'52.2-Utility3'!$A$1:$L$28</definedName>
    <definedName name="Z_A64E4C9E_A3DA_4AAA_8607_F524450B9436_.wvu.PrintArea" localSheetId="242" hidden="1">'52.2-Utility4'!$A$1:$L$28</definedName>
    <definedName name="Z_A64E4C9E_A3DA_4AAA_8607_F524450B9436_.wvu.PrintArea" localSheetId="265" hidden="1">'52.2-Utility5'!$A$1:$L$28</definedName>
    <definedName name="Z_A64E4C9E_A3DA_4AAA_8607_F524450B9436_.wvu.PrintArea" localSheetId="288" hidden="1">'52.2-Utility6'!$A$1:$L$28</definedName>
    <definedName name="Z_A64E4C9E_A3DA_4AAA_8607_F524450B9436_.wvu.PrintArea" localSheetId="174" hidden="1">'52.3-Utility1'!$A$1:$L$28</definedName>
    <definedName name="Z_A64E4C9E_A3DA_4AAA_8607_F524450B9436_.wvu.PrintArea" localSheetId="197" hidden="1">'52.3-Utility2'!$A$1:$L$28</definedName>
    <definedName name="Z_A64E4C9E_A3DA_4AAA_8607_F524450B9436_.wvu.PrintArea" localSheetId="220" hidden="1">'52.3-Utility3'!$A$1:$L$28</definedName>
    <definedName name="Z_A64E4C9E_A3DA_4AAA_8607_F524450B9436_.wvu.PrintArea" localSheetId="243" hidden="1">'52.3-Utility4'!$A$1:$L$28</definedName>
    <definedName name="Z_A64E4C9E_A3DA_4AAA_8607_F524450B9436_.wvu.PrintArea" localSheetId="266" hidden="1">'52.3-Utility5'!$A$1:$L$28</definedName>
    <definedName name="Z_A64E4C9E_A3DA_4AAA_8607_F524450B9436_.wvu.PrintArea" localSheetId="289" hidden="1">'52.3-Utility6'!$A$1:$L$28</definedName>
    <definedName name="Z_A64E4C9E_A3DA_4AAA_8607_F524450B9436_.wvu.PrintArea" localSheetId="175" hidden="1">'52-Totals-Utility 1'!$A$1:$L$28</definedName>
    <definedName name="Z_A64E4C9E_A3DA_4AAA_8607_F524450B9436_.wvu.PrintArea" localSheetId="198" hidden="1">'52-Totals-Utility2'!$A$1:$L$28</definedName>
    <definedName name="Z_A64E4C9E_A3DA_4AAA_8607_F524450B9436_.wvu.PrintArea" localSheetId="221" hidden="1">'52-Totals-Utility3'!$A$1:$L$28</definedName>
    <definedName name="Z_A64E4C9E_A3DA_4AAA_8607_F524450B9436_.wvu.PrintArea" localSheetId="244" hidden="1">'52-Totals-Utility4'!$A$1:$L$28</definedName>
    <definedName name="Z_A64E4C9E_A3DA_4AAA_8607_F524450B9436_.wvu.PrintArea" localSheetId="267" hidden="1">'52-Totals-Utility5'!$A$1:$L$28</definedName>
    <definedName name="Z_A64E4C9E_A3DA_4AAA_8607_F524450B9436_.wvu.PrintArea" localSheetId="290" hidden="1">'52-Totals-Utility6'!$A$1:$L$28</definedName>
    <definedName name="Z_A64E4C9E_A3DA_4AAA_8607_F524450B9436_.wvu.PrintArea" localSheetId="286" hidden="1">'52-Utility 6'!$A$1:$L$28</definedName>
    <definedName name="Z_A64E4C9E_A3DA_4AAA_8607_F524450B9436_.wvu.PrintArea" localSheetId="171" hidden="1">'52-Utility1'!$A$1:$L$28</definedName>
    <definedName name="Z_A64E4C9E_A3DA_4AAA_8607_F524450B9436_.wvu.PrintArea" localSheetId="194" hidden="1">'52-Utility2'!$A$1:$L$28</definedName>
    <definedName name="Z_A64E4C9E_A3DA_4AAA_8607_F524450B9436_.wvu.PrintArea" localSheetId="217" hidden="1">'52-Utility3'!$A$1:$L$28</definedName>
    <definedName name="Z_A64E4C9E_A3DA_4AAA_8607_F524450B9436_.wvu.PrintArea" localSheetId="240" hidden="1">'52-Utility4'!$A$1:$L$28</definedName>
    <definedName name="Z_A64E4C9E_A3DA_4AAA_8607_F524450B9436_.wvu.PrintArea" localSheetId="263" hidden="1">'52-Utility5'!$A$1:$L$28</definedName>
    <definedName name="Z_A64E4C9E_A3DA_4AAA_8607_F524450B9436_.wvu.PrintArea" localSheetId="176" hidden="1">'53-Utility1'!$A$1:$J$54</definedName>
    <definedName name="Z_A64E4C9E_A3DA_4AAA_8607_F524450B9436_.wvu.PrintArea" localSheetId="199" hidden="1">'53-Utility2'!$A$1:$J$54</definedName>
    <definedName name="Z_A64E4C9E_A3DA_4AAA_8607_F524450B9436_.wvu.PrintArea" localSheetId="222" hidden="1">'53-Utility3'!$A$1:$J$54</definedName>
    <definedName name="Z_A64E4C9E_A3DA_4AAA_8607_F524450B9436_.wvu.PrintArea" localSheetId="245" hidden="1">'53-Utility4'!$A$1:$J$54</definedName>
    <definedName name="Z_A64E4C9E_A3DA_4AAA_8607_F524450B9436_.wvu.PrintArea" localSheetId="268" hidden="1">'53-Utility5'!$A$1:$J$54</definedName>
    <definedName name="Z_A64E4C9E_A3DA_4AAA_8607_F524450B9436_.wvu.PrintArea" localSheetId="291" hidden="1">'53-Utility6'!$A$1:$J$54</definedName>
    <definedName name="Z_A64E4C9E_A3DA_4AAA_8607_F524450B9436_.wvu.PrintArea" localSheetId="177" hidden="1">'54-Utility1'!$A$1:$J$52</definedName>
    <definedName name="Z_A64E4C9E_A3DA_4AAA_8607_F524450B9436_.wvu.PrintArea" localSheetId="200" hidden="1">'54-Utility2'!$A$1:$J$52</definedName>
    <definedName name="Z_A64E4C9E_A3DA_4AAA_8607_F524450B9436_.wvu.PrintArea" localSheetId="223" hidden="1">'54-Utility3'!$A$1:$J$52</definedName>
    <definedName name="Z_A64E4C9E_A3DA_4AAA_8607_F524450B9436_.wvu.PrintArea" localSheetId="246" hidden="1">'54-Utility4'!$A$1:$J$52</definedName>
    <definedName name="Z_A64E4C9E_A3DA_4AAA_8607_F524450B9436_.wvu.PrintArea" localSheetId="269" hidden="1">'54-Utility5'!$A$1:$J$52</definedName>
    <definedName name="Z_A64E4C9E_A3DA_4AAA_8607_F524450B9436_.wvu.PrintArea" localSheetId="292" hidden="1">'54-Utility6'!$A$1:$J$52</definedName>
    <definedName name="Z_A64E4C9E_A3DA_4AAA_8607_F524450B9436_.wvu.PrintArea" localSheetId="13" hidden="1">'5-Trial Bal-Grants'!$A$1:$H$48</definedName>
    <definedName name="Z_A64E4C9E_A3DA_4AAA_8607_F524450B9436_.wvu.PrintArea" localSheetId="15" hidden="1">'6.1-Trial Bal-Trust Fnds'!$A$1:$H$48</definedName>
    <definedName name="Z_A64E4C9E_A3DA_4AAA_8607_F524450B9436_.wvu.PrintArea" localSheetId="16" hidden="1">'6.2-Trial Bal-Trust Fnds'!$A$1:$H$48</definedName>
    <definedName name="Z_A64E4C9E_A3DA_4AAA_8607_F524450B9436_.wvu.PrintArea" localSheetId="17" hidden="1">'6.3-Trial Bal-Trust Fnds'!$A$1:$H$48</definedName>
    <definedName name="Z_A64E4C9E_A3DA_4AAA_8607_F524450B9436_.wvu.PrintArea" localSheetId="18" hidden="1">'6.4-Trial Bal-Trust Fnds'!$A$1:$H$48</definedName>
    <definedName name="Z_A64E4C9E_A3DA_4AAA_8607_F524450B9436_.wvu.PrintArea" localSheetId="19" hidden="1">'6.TOTAL-Trial Bal-Trust Fnds'!$A$1:$H$48</definedName>
    <definedName name="Z_A64E4C9E_A3DA_4AAA_8607_F524450B9436_.wvu.PrintArea" localSheetId="1" hidden="1">'69 - Instructions'!$A$1:$M$87</definedName>
    <definedName name="Z_A64E4C9E_A3DA_4AAA_8607_F524450B9436_.wvu.PrintArea" localSheetId="21" hidden="1">'6b.1-Trust Fund Reserves'!$A$1:$M$50</definedName>
    <definedName name="Z_A64E4C9E_A3DA_4AAA_8607_F524450B9436_.wvu.PrintArea" localSheetId="22" hidden="1">'6b.2-Trust Fund Reserves'!$A$1:$M$50</definedName>
    <definedName name="Z_A64E4C9E_A3DA_4AAA_8607_F524450B9436_.wvu.PrintArea" localSheetId="23" hidden="1">'6b.3-Trust Fund Reserves'!$A$1:$M$50</definedName>
    <definedName name="Z_A64E4C9E_A3DA_4AAA_8607_F524450B9436_.wvu.PrintArea" localSheetId="24" hidden="1">'6b-Total Trust Fund Reserves'!$A$1:$M$50</definedName>
    <definedName name="Z_A64E4C9E_A3DA_4AAA_8607_F524450B9436_.wvu.PrintArea" localSheetId="20" hidden="1">'6b-Trust Fund Reserves'!$A$1:$M$50</definedName>
    <definedName name="Z_A64E4C9E_A3DA_4AAA_8607_F524450B9436_.wvu.PrintArea" localSheetId="14" hidden="1">'6-Trial Bal-Trust Fnds'!$A$1:$H$47</definedName>
    <definedName name="Z_A64E4C9E_A3DA_4AAA_8607_F524450B9436_.wvu.PrintArea" localSheetId="25" hidden="1">'7-Trust Asm Cash &amp; Investments'!$A$1:$L$27</definedName>
    <definedName name="Z_A64E4C9E_A3DA_4AAA_8607_F524450B9436_.wvu.PrintArea" localSheetId="27" hidden="1">'8.1-Trial Bal-Gen Cap Fund'!$A$1:$H$48</definedName>
    <definedName name="Z_A64E4C9E_A3DA_4AAA_8607_F524450B9436_.wvu.PrintArea" localSheetId="26" hidden="1">'8-Trial Bal-Gen Cap Fund'!$A$1:$H$48</definedName>
    <definedName name="Z_A64E4C9E_A3DA_4AAA_8607_F524450B9436_.wvu.PrintArea" localSheetId="33" hidden="1">'9a TOTAL-Cash Reconciliation'!$A$1:$F$49</definedName>
    <definedName name="Z_A64E4C9E_A3DA_4AAA_8607_F524450B9436_.wvu.PrintArea" localSheetId="30" hidden="1">'9a.1-Cash Reconciliation'!$A$1:$F$49</definedName>
    <definedName name="Z_A64E4C9E_A3DA_4AAA_8607_F524450B9436_.wvu.PrintArea" localSheetId="31" hidden="1">'9a.2-Cash Reconciliation'!$A$1:$F$49</definedName>
    <definedName name="Z_A64E4C9E_A3DA_4AAA_8607_F524450B9436_.wvu.PrintArea" localSheetId="32" hidden="1">'9a.3-Cash Reconciliation'!$A$1:$F$49</definedName>
    <definedName name="Z_A64E4C9E_A3DA_4AAA_8607_F524450B9436_.wvu.PrintArea" localSheetId="29" hidden="1">'9a-Cash Reconciliation'!$A$1:$F$49</definedName>
    <definedName name="Z_A64E4C9E_A3DA_4AAA_8607_F524450B9436_.wvu.PrintArea" localSheetId="28" hidden="1">'9-Cash Reconciliation'!$A$1:$I$52</definedName>
    <definedName name="Z_A64E4C9E_A3DA_4AAA_8607_F524450B9436_.wvu.PrintArea" localSheetId="0" hidden="1">Instructions!$A$1:$B$238</definedName>
    <definedName name="Z_A64E4C9E_A3DA_4AAA_8607_F524450B9436_.wvu.PrintArea" localSheetId="2" hidden="1">'KEY INPUTS'!$C$1:$E$60</definedName>
    <definedName name="Z_AB4FBD91_4533_473A_9702_569FF6402073_.wvu.Cols" localSheetId="4" hidden="1">'1- Cover'!$R:$R,'1- Cover'!$Y:$Y</definedName>
    <definedName name="Z_AB4FBD91_4533_473A_9702_569FF6402073_.wvu.Cols" localSheetId="5" hidden="1">'1a - RMA Certification'!$Q:$Q,'1a - RMA Certification'!$Y:$Y</definedName>
    <definedName name="Z_AB4FBD91_4533_473A_9702_569FF6402073_.wvu.Cols" localSheetId="7" hidden="1">'1c - Fed &amp; State Finan Asst.'!$P:$P</definedName>
    <definedName name="Z_AB4FBD91_4533_473A_9702_569FF6402073_.wvu.Cols" localSheetId="2" hidden="1">'KEY INPUTS'!$A:$B,'KEY INPUTS'!$Q:$AA</definedName>
    <definedName name="Z_AB4FBD91_4533_473A_9702_569FF6402073_.wvu.FilterData" localSheetId="2" hidden="1">'KEY INPUTS'!$Z$6:$Z$571</definedName>
    <definedName name="Z_AB4FBD91_4533_473A_9702_569FF6402073_.wvu.PrintArea" localSheetId="4" hidden="1">'1- Cover'!$A$1:$O$67</definedName>
    <definedName name="Z_AB4FBD91_4533_473A_9702_569FF6402073_.wvu.PrintArea" localSheetId="59" hidden="1">'10 Totals Grants Receivable'!$A$1:$K$27</definedName>
    <definedName name="Z_AB4FBD91_4533_473A_9702_569FF6402073_.wvu.PrintArea" localSheetId="44" hidden="1">'10.10-Grants Receivable'!$A$1:$K$27</definedName>
    <definedName name="Z_AB4FBD91_4533_473A_9702_569FF6402073_.wvu.PrintArea" localSheetId="45" hidden="1">'10.11-Grants Receivable'!$A$1:$K$27</definedName>
    <definedName name="Z_AB4FBD91_4533_473A_9702_569FF6402073_.wvu.PrintArea" localSheetId="46" hidden="1">'10.12-Grants Receivable'!$A$1:$K$27</definedName>
    <definedName name="Z_AB4FBD91_4533_473A_9702_569FF6402073_.wvu.PrintArea" localSheetId="47" hidden="1">'10.13-Grants Receivable'!$A$1:$K$27</definedName>
    <definedName name="Z_AB4FBD91_4533_473A_9702_569FF6402073_.wvu.PrintArea" localSheetId="48" hidden="1">'10.14-Grants Receivable'!$A$1:$K$27</definedName>
    <definedName name="Z_AB4FBD91_4533_473A_9702_569FF6402073_.wvu.PrintArea" localSheetId="49" hidden="1">'10.15-Grants Receivable'!$A$1:$K$27</definedName>
    <definedName name="Z_AB4FBD91_4533_473A_9702_569FF6402073_.wvu.PrintArea" localSheetId="50" hidden="1">'10.16-Grants Receivable'!$A$1:$K$27</definedName>
    <definedName name="Z_AB4FBD91_4533_473A_9702_569FF6402073_.wvu.PrintArea" localSheetId="51" hidden="1">'10.17-Grants Receivable'!$A$1:$K$27</definedName>
    <definedName name="Z_AB4FBD91_4533_473A_9702_569FF6402073_.wvu.PrintArea" localSheetId="52" hidden="1">'10.18-Grants Receivable'!$A$1:$K$27</definedName>
    <definedName name="Z_AB4FBD91_4533_473A_9702_569FF6402073_.wvu.PrintArea" localSheetId="53" hidden="1">'10.19-Grants Receivable'!$A$1:$K$27</definedName>
    <definedName name="Z_AB4FBD91_4533_473A_9702_569FF6402073_.wvu.PrintArea" localSheetId="35" hidden="1">'10.1-Grants Receivable'!$A$1:$K$27</definedName>
    <definedName name="Z_AB4FBD91_4533_473A_9702_569FF6402073_.wvu.PrintArea" localSheetId="54" hidden="1">'10.20-Grants Receivable'!$A$1:$K$27</definedName>
    <definedName name="Z_AB4FBD91_4533_473A_9702_569FF6402073_.wvu.PrintArea" localSheetId="55" hidden="1">'10.21-Grants Receivable'!$A$1:$K$27</definedName>
    <definedName name="Z_AB4FBD91_4533_473A_9702_569FF6402073_.wvu.PrintArea" localSheetId="56" hidden="1">'10.22-Grants Receivable'!$A$1:$K$27</definedName>
    <definedName name="Z_AB4FBD91_4533_473A_9702_569FF6402073_.wvu.PrintArea" localSheetId="57" hidden="1">'10.23-Grants Receivable'!$A$1:$K$27</definedName>
    <definedName name="Z_AB4FBD91_4533_473A_9702_569FF6402073_.wvu.PrintArea" localSheetId="58" hidden="1">'10.24-Grants Receivable'!$A$1:$K$27</definedName>
    <definedName name="Z_AB4FBD91_4533_473A_9702_569FF6402073_.wvu.PrintArea" localSheetId="36" hidden="1">'10.2-Grants Receivable'!$A$1:$K$27</definedName>
    <definedName name="Z_AB4FBD91_4533_473A_9702_569FF6402073_.wvu.PrintArea" localSheetId="37" hidden="1">'10.3-Grants Receivable'!$A$1:$K$27</definedName>
    <definedName name="Z_AB4FBD91_4533_473A_9702_569FF6402073_.wvu.PrintArea" localSheetId="38" hidden="1">'10.4-Grants Receivable'!$A$1:$K$27</definedName>
    <definedName name="Z_AB4FBD91_4533_473A_9702_569FF6402073_.wvu.PrintArea" localSheetId="39" hidden="1">'10.5-Grants Receivable'!$A$1:$K$27</definedName>
    <definedName name="Z_AB4FBD91_4533_473A_9702_569FF6402073_.wvu.PrintArea" localSheetId="40" hidden="1">'10.6-Grants Receivable'!$A$1:$K$27</definedName>
    <definedName name="Z_AB4FBD91_4533_473A_9702_569FF6402073_.wvu.PrintArea" localSheetId="41" hidden="1">'10.7-Grants Receivable'!$A$1:$K$27</definedName>
    <definedName name="Z_AB4FBD91_4533_473A_9702_569FF6402073_.wvu.PrintArea" localSheetId="42" hidden="1">'10.8-Grants Receivable'!$A$1:$K$27</definedName>
    <definedName name="Z_AB4FBD91_4533_473A_9702_569FF6402073_.wvu.PrintArea" localSheetId="43" hidden="1">'10.9-Grants Receivable'!$A$1:$K$27</definedName>
    <definedName name="Z_AB4FBD91_4533_473A_9702_569FF6402073_.wvu.PrintArea" localSheetId="34" hidden="1">'10-Grants Receivable'!$A$1:$K$27</definedName>
    <definedName name="Z_AB4FBD91_4533_473A_9702_569FF6402073_.wvu.PrintArea" localSheetId="60" hidden="1">'11 Grants Approp Rsrv'!$A$1:$L$27</definedName>
    <definedName name="Z_AB4FBD91_4533_473A_9702_569FF6402073_.wvu.PrintArea" localSheetId="100" hidden="1">'11- Totals Grants Approp Rsrv'!$A$1:$L$27</definedName>
    <definedName name="Z_AB4FBD91_4533_473A_9702_569FF6402073_.wvu.PrintArea" localSheetId="61" hidden="1">'11.1 Grants Approp Rsrv'!$A$1:$L$27</definedName>
    <definedName name="Z_AB4FBD91_4533_473A_9702_569FF6402073_.wvu.PrintArea" localSheetId="70" hidden="1">'11.10 Grants Approp Rsrv'!$A$1:$L$27</definedName>
    <definedName name="Z_AB4FBD91_4533_473A_9702_569FF6402073_.wvu.PrintArea" localSheetId="71" hidden="1">'11.11 Grants Approp Rsrv'!$A$1:$L$27</definedName>
    <definedName name="Z_AB4FBD91_4533_473A_9702_569FF6402073_.wvu.PrintArea" localSheetId="72" hidden="1">'11.12 Grants Approp Rsrv'!$A$1:$L$27</definedName>
    <definedName name="Z_AB4FBD91_4533_473A_9702_569FF6402073_.wvu.PrintArea" localSheetId="73" hidden="1">'11.13 Grants Approp Rsrv'!$A$1:$L$27</definedName>
    <definedName name="Z_AB4FBD91_4533_473A_9702_569FF6402073_.wvu.PrintArea" localSheetId="74" hidden="1">'11.14 Grants Approp Rsrv'!$A$1:$L$27</definedName>
    <definedName name="Z_AB4FBD91_4533_473A_9702_569FF6402073_.wvu.PrintArea" localSheetId="75" hidden="1">'11.15 Grants Approp Rsrv'!$A$1:$L$27</definedName>
    <definedName name="Z_AB4FBD91_4533_473A_9702_569FF6402073_.wvu.PrintArea" localSheetId="76" hidden="1">'11.16 Grants Approp Rsrv'!$A$1:$L$27</definedName>
    <definedName name="Z_AB4FBD91_4533_473A_9702_569FF6402073_.wvu.PrintArea" localSheetId="77" hidden="1">'11.17 Grants Approp Rsrv'!$A$1:$L$27</definedName>
    <definedName name="Z_AB4FBD91_4533_473A_9702_569FF6402073_.wvu.PrintArea" localSheetId="78" hidden="1">'11.18 Grants Approp Rsrv'!$A$1:$L$27</definedName>
    <definedName name="Z_AB4FBD91_4533_473A_9702_569FF6402073_.wvu.PrintArea" localSheetId="79" hidden="1">'11.19 Grants Approp Rsrv'!$A$1:$L$27</definedName>
    <definedName name="Z_AB4FBD91_4533_473A_9702_569FF6402073_.wvu.PrintArea" localSheetId="62" hidden="1">'11.2 Grants Approp Rsrv'!$A$1:$L$27</definedName>
    <definedName name="Z_AB4FBD91_4533_473A_9702_569FF6402073_.wvu.PrintArea" localSheetId="80" hidden="1">'11.20 Grants Approp Rsrv'!$A$1:$L$27</definedName>
    <definedName name="Z_AB4FBD91_4533_473A_9702_569FF6402073_.wvu.PrintArea" localSheetId="81" hidden="1">'11.21 Grants Approp Rsrv'!$A$1:$L$27</definedName>
    <definedName name="Z_AB4FBD91_4533_473A_9702_569FF6402073_.wvu.PrintArea" localSheetId="82" hidden="1">'11.22 Grants Approp Rsrv'!$A$1:$L$27</definedName>
    <definedName name="Z_AB4FBD91_4533_473A_9702_569FF6402073_.wvu.PrintArea" localSheetId="83" hidden="1">'11.23 Grants Approp Rsrv'!$A$1:$L$27</definedName>
    <definedName name="Z_AB4FBD91_4533_473A_9702_569FF6402073_.wvu.PrintArea" localSheetId="84" hidden="1">'11.24 Grants Approp Rsrv'!$A$1:$L$27</definedName>
    <definedName name="Z_AB4FBD91_4533_473A_9702_569FF6402073_.wvu.PrintArea" localSheetId="85" hidden="1">'11.25 Grants Approp Rsrv'!$A$1:$L$27</definedName>
    <definedName name="Z_AB4FBD91_4533_473A_9702_569FF6402073_.wvu.PrintArea" localSheetId="86" hidden="1">'11.26 Grants Approp Rsrv'!$A$1:$L$27</definedName>
    <definedName name="Z_AB4FBD91_4533_473A_9702_569FF6402073_.wvu.PrintArea" localSheetId="87" hidden="1">'11.27 Grants Approp Rsrv'!$A$1:$L$27</definedName>
    <definedName name="Z_AB4FBD91_4533_473A_9702_569FF6402073_.wvu.PrintArea" localSheetId="88" hidden="1">'11.28 Grants Approp Rsrv'!$A$1:$L$27</definedName>
    <definedName name="Z_AB4FBD91_4533_473A_9702_569FF6402073_.wvu.PrintArea" localSheetId="89" hidden="1">'11.29 Grants Approp Rsrv'!$A$1:$L$27</definedName>
    <definedName name="Z_AB4FBD91_4533_473A_9702_569FF6402073_.wvu.PrintArea" localSheetId="63" hidden="1">'11.3 Grants Approp Rsrv'!$A$1:$L$27</definedName>
    <definedName name="Z_AB4FBD91_4533_473A_9702_569FF6402073_.wvu.PrintArea" localSheetId="90" hidden="1">'11.30 Grants Approp Rsrv'!$A$1:$L$27</definedName>
    <definedName name="Z_AB4FBD91_4533_473A_9702_569FF6402073_.wvu.PrintArea" localSheetId="91" hidden="1">'11.31 Grants Approp Rsrv'!$A$1:$L$27</definedName>
    <definedName name="Z_AB4FBD91_4533_473A_9702_569FF6402073_.wvu.PrintArea" localSheetId="92" hidden="1">'11.32 Grants Approp Rsrv'!$A$1:$L$27</definedName>
    <definedName name="Z_AB4FBD91_4533_473A_9702_569FF6402073_.wvu.PrintArea" localSheetId="93" hidden="1">'11.33 Grants Approp Rsrv'!$A$1:$L$27</definedName>
    <definedName name="Z_AB4FBD91_4533_473A_9702_569FF6402073_.wvu.PrintArea" localSheetId="94" hidden="1">'11.34 Grants Approp Rsrv'!$A$1:$L$27</definedName>
    <definedName name="Z_AB4FBD91_4533_473A_9702_569FF6402073_.wvu.PrintArea" localSheetId="95" hidden="1">'11.35 Grants Approp Rsrv'!$A$1:$L$27</definedName>
    <definedName name="Z_AB4FBD91_4533_473A_9702_569FF6402073_.wvu.PrintArea" localSheetId="96" hidden="1">'11.36 Grants Approp Rsrv'!$A$1:$L$27</definedName>
    <definedName name="Z_AB4FBD91_4533_473A_9702_569FF6402073_.wvu.PrintArea" localSheetId="97" hidden="1">'11.37 Grants Approp Rsrv'!$A$1:$L$27</definedName>
    <definedName name="Z_AB4FBD91_4533_473A_9702_569FF6402073_.wvu.PrintArea" localSheetId="98" hidden="1">'11.38 Grants Approp Rsrv'!$A$1:$L$27</definedName>
    <definedName name="Z_AB4FBD91_4533_473A_9702_569FF6402073_.wvu.PrintArea" localSheetId="99" hidden="1">'11.39 Grants Approp Rsrv'!$A$1:$L$27</definedName>
    <definedName name="Z_AB4FBD91_4533_473A_9702_569FF6402073_.wvu.PrintArea" localSheetId="64" hidden="1">'11.4 Grants Approp Rsrv'!$A$1:$L$27</definedName>
    <definedName name="Z_AB4FBD91_4533_473A_9702_569FF6402073_.wvu.PrintArea" localSheetId="65" hidden="1">'11.5 Grants Approp Rsrv'!$A$1:$L$27</definedName>
    <definedName name="Z_AB4FBD91_4533_473A_9702_569FF6402073_.wvu.PrintArea" localSheetId="66" hidden="1">'11.6 Grants Approp Rsrv'!$A$1:$L$27</definedName>
    <definedName name="Z_AB4FBD91_4533_473A_9702_569FF6402073_.wvu.PrintArea" localSheetId="67" hidden="1">'11.7 Grants Approp Rsrv'!$A$1:$L$27</definedName>
    <definedName name="Z_AB4FBD91_4533_473A_9702_569FF6402073_.wvu.PrintArea" localSheetId="68" hidden="1">'11.8 Grants Approp Rsrv'!$A$1:$L$27</definedName>
    <definedName name="Z_AB4FBD91_4533_473A_9702_569FF6402073_.wvu.PrintArea" localSheetId="69" hidden="1">'11.9 Grants Approp Rsrv'!$A$1:$L$27</definedName>
    <definedName name="Z_AB4FBD91_4533_473A_9702_569FF6402073_.wvu.PrintArea" localSheetId="104" hidden="1">'12 Total-Grants Unappropriated'!$A$1:$K$27</definedName>
    <definedName name="Z_AB4FBD91_4533_473A_9702_569FF6402073_.wvu.PrintArea" localSheetId="102" hidden="1">'12.1-Grants Unappropriated'!$A$1:$K$27</definedName>
    <definedName name="Z_AB4FBD91_4533_473A_9702_569FF6402073_.wvu.PrintArea" localSheetId="103" hidden="1">'12.2-Grants Unappropriated'!$A$1:$K$27</definedName>
    <definedName name="Z_AB4FBD91_4533_473A_9702_569FF6402073_.wvu.PrintArea" localSheetId="101" hidden="1">'12-Grants Unappropriated'!$A$1:$K$27</definedName>
    <definedName name="Z_AB4FBD91_4533_473A_9702_569FF6402073_.wvu.PrintArea" localSheetId="105" hidden="1">'13-Other Taxes'!$A$1:$H$51</definedName>
    <definedName name="Z_AB4FBD91_4533_473A_9702_569FF6402073_.wvu.PrintArea" localSheetId="106" hidden="1">'14-Other Taxes'!$A$1:$H$52</definedName>
    <definedName name="Z_AB4FBD91_4533_473A_9702_569FF6402073_.wvu.PrintArea" localSheetId="107" hidden="1">'15-Other Taxes'!$A$1:$J$47</definedName>
    <definedName name="Z_AB4FBD91_4533_473A_9702_569FF6402073_.wvu.PrintArea" localSheetId="113" hidden="1">'17a Totals-Budget Revenues'!$A$1:$J$49</definedName>
    <definedName name="Z_AB4FBD91_4533_473A_9702_569FF6402073_.wvu.PrintArea" localSheetId="110" hidden="1">'17a.1-Budget Revenues '!$A$1:$J$49</definedName>
    <definedName name="Z_AB4FBD91_4533_473A_9702_569FF6402073_.wvu.PrintArea" localSheetId="111" hidden="1">'17a.2-Budget Revenues'!$A$1:$J$49</definedName>
    <definedName name="Z_AB4FBD91_4533_473A_9702_569FF6402073_.wvu.PrintArea" localSheetId="112" hidden="1">'17a.3-Budget Revenues'!$A$1:$J$49</definedName>
    <definedName name="Z_AB4FBD91_4533_473A_9702_569FF6402073_.wvu.PrintArea" localSheetId="109" hidden="1">'17a-Budget Revenues'!$A$1:$J$49</definedName>
    <definedName name="Z_AB4FBD91_4533_473A_9702_569FF6402073_.wvu.PrintArea" localSheetId="108" hidden="1">'17-Budget Revenues'!$A$1:$J$50</definedName>
    <definedName name="Z_AB4FBD91_4533_473A_9702_569FF6402073_.wvu.PrintArea" localSheetId="114" hidden="1">'18-Budget Appropriations'!$A$1:$J$54</definedName>
    <definedName name="Z_AB4FBD91_4533_473A_9702_569FF6402073_.wvu.PrintArea" localSheetId="115" hidden="1">'19-Results of Op-Cur Fnd'!$A$1:$I$48</definedName>
    <definedName name="Z_AB4FBD91_4533_473A_9702_569FF6402073_.wvu.PrintArea" localSheetId="5" hidden="1">'1a - RMA Certification'!$A$1:$N$70</definedName>
    <definedName name="Z_AB4FBD91_4533_473A_9702_569FF6402073_.wvu.PrintArea" localSheetId="6" hidden="1">'1b - Local Exam Qual Cert'!$A$1:$M$68</definedName>
    <definedName name="Z_AB4FBD91_4533_473A_9702_569FF6402073_.wvu.PrintArea" localSheetId="7" hidden="1">'1c - Fed &amp; State Finan Asst.'!$A$1:$M$71</definedName>
    <definedName name="Z_AB4FBD91_4533_473A_9702_569FF6402073_.wvu.PrintArea" localSheetId="8" hidden="1">'2 - No Utility Fund Cert'!$A$1:$M$59</definedName>
    <definedName name="Z_AB4FBD91_4533_473A_9702_569FF6402073_.wvu.PrintArea" localSheetId="118" hidden="1">'20 Total-Misc Rev Not Ant'!$A$1:$H$47</definedName>
    <definedName name="Z_AB4FBD91_4533_473A_9702_569FF6402073_.wvu.PrintArea" localSheetId="117" hidden="1">'20.1-Misc Rev Not Ant'!$A$1:$H$47</definedName>
    <definedName name="Z_AB4FBD91_4533_473A_9702_569FF6402073_.wvu.PrintArea" localSheetId="116" hidden="1">'20-Misc Rev Not Ant'!$A$1:$H$47</definedName>
    <definedName name="Z_AB4FBD91_4533_473A_9702_569FF6402073_.wvu.PrintArea" localSheetId="119" hidden="1">'21-Current Fund Surplus'!$A$1:$L$50</definedName>
    <definedName name="Z_AB4FBD91_4533_473A_9702_569FF6402073_.wvu.PrintArea" localSheetId="120" hidden="1">'22-2019 Levy'!$A$1:$N$63</definedName>
    <definedName name="Z_AB4FBD91_4533_473A_9702_569FF6402073_.wvu.PrintArea" localSheetId="121" hidden="1">'22a-Tax Levy Sale'!$A$1:$K$61</definedName>
    <definedName name="Z_AB4FBD91_4533_473A_9702_569FF6402073_.wvu.PrintArea" localSheetId="122" hidden="1">'23-SCVet Deductions'!$A$1:$J$54</definedName>
    <definedName name="Z_AB4FBD91_4533_473A_9702_569FF6402073_.wvu.PrintArea" localSheetId="123" hidden="1">'24-Reserves for Tax Appeals'!$A$1:$J$60</definedName>
    <definedName name="Z_AB4FBD91_4533_473A_9702_569FF6402073_.wvu.PrintArea" localSheetId="124" hidden="1">'26-Delinquent Taxes and Liens'!$A$1:$M$49</definedName>
    <definedName name="Z_AB4FBD91_4533_473A_9702_569FF6402073_.wvu.PrintArea" localSheetId="125" hidden="1">'27-Foreclosed Property'!$A$1:$L$50</definedName>
    <definedName name="Z_AB4FBD91_4533_473A_9702_569FF6402073_.wvu.PrintArea" localSheetId="126" hidden="1">'28-Deferred Charges'!$A$1:$N$58</definedName>
    <definedName name="Z_AB4FBD91_4533_473A_9702_569FF6402073_.wvu.PrintArea" localSheetId="127" hidden="1">'29-Special Emergency'!$A$1:$L$30</definedName>
    <definedName name="Z_AB4FBD91_4533_473A_9702_569FF6402073_.wvu.PrintArea" localSheetId="128" hidden="1">'30-Special Emergency'!$A$1:$L$30</definedName>
    <definedName name="Z_AB4FBD91_4533_473A_9702_569FF6402073_.wvu.PrintArea" localSheetId="131" hidden="1">'31A.1-Loan Schedule'!$A$1:$L$47</definedName>
    <definedName name="Z_AB4FBD91_4533_473A_9702_569FF6402073_.wvu.PrintArea" localSheetId="132" hidden="1">'31A.2-Loan Schedule'!$A$1:$L$47</definedName>
    <definedName name="Z_AB4FBD91_4533_473A_9702_569FF6402073_.wvu.PrintArea" localSheetId="130" hidden="1">'31A-Loan Schedule'!$A$1:$L$47</definedName>
    <definedName name="Z_AB4FBD91_4533_473A_9702_569FF6402073_.wvu.PrintArea" localSheetId="129" hidden="1">'31-Capital Bond Schedule'!$A$1:$L$47</definedName>
    <definedName name="Z_AB4FBD91_4533_473A_9702_569FF6402073_.wvu.PrintArea" localSheetId="133" hidden="1">'32-Bond Schedule'!$A$1:$L$48</definedName>
    <definedName name="Z_AB4FBD91_4533_473A_9702_569FF6402073_.wvu.PrintArea" localSheetId="136" hidden="1">'33 Totals-Note Debt Service'!$A$1:$L$29</definedName>
    <definedName name="Z_AB4FBD91_4533_473A_9702_569FF6402073_.wvu.PrintArea" localSheetId="135" hidden="1">'33.1-Note Debt Service'!$A$1:$L$29</definedName>
    <definedName name="Z_AB4FBD91_4533_473A_9702_569FF6402073_.wvu.PrintArea" localSheetId="134" hidden="1">'33-Note Debt Service'!$A$1:$L$29</definedName>
    <definedName name="Z_AB4FBD91_4533_473A_9702_569FF6402073_.wvu.PrintArea" localSheetId="138" hidden="1">'34a-Cap Lease Program Oblg'!$A$1:$I$27</definedName>
    <definedName name="Z_AB4FBD91_4533_473A_9702_569FF6402073_.wvu.PrintArea" localSheetId="137" hidden="1">'34-Assmt Note Debt Service'!$A$1:$L$29</definedName>
    <definedName name="Z_AB4FBD91_4533_473A_9702_569FF6402073_.wvu.PrintArea" localSheetId="139" hidden="1">'35- Cap Fund Imprv Auth'!$A$1:$L$29</definedName>
    <definedName name="Z_AB4FBD91_4533_473A_9702_569FF6402073_.wvu.PrintArea" localSheetId="149" hidden="1">'35 Totals- Cap Fund Imprv Auth'!$A$1:$L$29</definedName>
    <definedName name="Z_AB4FBD91_4533_473A_9702_569FF6402073_.wvu.PrintArea" localSheetId="140" hidden="1">'35.1- Cap Fund Imprv Auth '!$A$1:$L$29</definedName>
    <definedName name="Z_AB4FBD91_4533_473A_9702_569FF6402073_.wvu.PrintArea" localSheetId="141" hidden="1">'35.2- Cap Fund Imprv Auth'!$A$1:$L$29</definedName>
    <definedName name="Z_AB4FBD91_4533_473A_9702_569FF6402073_.wvu.PrintArea" localSheetId="142" hidden="1">'35.3- Cap Fund Imprv Auth'!$A$1:$L$29</definedName>
    <definedName name="Z_AB4FBD91_4533_473A_9702_569FF6402073_.wvu.PrintArea" localSheetId="143" hidden="1">'35.4- Cap Fund Imprv Auth'!$A$1:$L$29</definedName>
    <definedName name="Z_AB4FBD91_4533_473A_9702_569FF6402073_.wvu.PrintArea" localSheetId="144" hidden="1">'35.5- Cap Fund Imprv Auth'!$A$1:$L$29</definedName>
    <definedName name="Z_AB4FBD91_4533_473A_9702_569FF6402073_.wvu.PrintArea" localSheetId="145" hidden="1">'35.6- Cap Fund Imprv Auth'!$A$1:$L$29</definedName>
    <definedName name="Z_AB4FBD91_4533_473A_9702_569FF6402073_.wvu.PrintArea" localSheetId="146" hidden="1">'35.7- Cap Fund Imprv Auth'!$A$1:$L$29</definedName>
    <definedName name="Z_AB4FBD91_4533_473A_9702_569FF6402073_.wvu.PrintArea" localSheetId="147" hidden="1">'35.8- Cap Fund Imprv Auth'!$A$1:$L$29</definedName>
    <definedName name="Z_AB4FBD91_4533_473A_9702_569FF6402073_.wvu.PrintArea" localSheetId="148" hidden="1">'35.9- Cap Fund Imprv Auth'!$A$1:$L$29</definedName>
    <definedName name="Z_AB4FBD91_4533_473A_9702_569FF6402073_.wvu.PrintArea" localSheetId="150" hidden="1">'36- Capital Improvement Fund'!$A$1:$J$54</definedName>
    <definedName name="Z_AB4FBD91_4533_473A_9702_569FF6402073_.wvu.PrintArea" localSheetId="151" hidden="1">'37- Cap Fund Down Pymts'!$A$1:$J$54</definedName>
    <definedName name="Z_AB4FBD91_4533_473A_9702_569FF6402073_.wvu.PrintArea" localSheetId="152" hidden="1">'38- Capital Surplus'!$A$1:$J$62</definedName>
    <definedName name="Z_AB4FBD91_4533_473A_9702_569FF6402073_.wvu.PrintArea" localSheetId="153" hidden="1">'39- Req. Information'!$A$1:$Q$66</definedName>
    <definedName name="Z_AB4FBD91_4533_473A_9702_569FF6402073_.wvu.PrintArea" localSheetId="11" hidden="1">'3a.1-Trial Bal-Current Fund'!$A$1:$I$48</definedName>
    <definedName name="Z_AB4FBD91_4533_473A_9702_569FF6402073_.wvu.PrintArea" localSheetId="10" hidden="1">'3a-Trial Bal-Current Fund'!$A$1:$I$48</definedName>
    <definedName name="Z_AB4FBD91_4533_473A_9702_569FF6402073_.wvu.PrintArea" localSheetId="9" hidden="1">'3-Trial Bal-Current Fund'!$A$1:$H$48</definedName>
    <definedName name="Z_AB4FBD91_4533_473A_9702_569FF6402073_.wvu.PrintArea" localSheetId="154" hidden="1">'40'!$A$1:$K$68</definedName>
    <definedName name="Z_AB4FBD91_4533_473A_9702_569FF6402073_.wvu.PrintArea" localSheetId="157" hidden="1">'41a.1-Utility1'!$A$1:$H$50</definedName>
    <definedName name="Z_AB4FBD91_4533_473A_9702_569FF6402073_.wvu.PrintArea" localSheetId="180" hidden="1">'41a.1-Utility2'!$A$1:$H$50</definedName>
    <definedName name="Z_AB4FBD91_4533_473A_9702_569FF6402073_.wvu.PrintArea" localSheetId="203" hidden="1">'41a.1-Utility3'!$A$1:$H$50</definedName>
    <definedName name="Z_AB4FBD91_4533_473A_9702_569FF6402073_.wvu.PrintArea" localSheetId="226" hidden="1">'41a.1-Utility4'!$A$1:$H$50</definedName>
    <definedName name="Z_AB4FBD91_4533_473A_9702_569FF6402073_.wvu.PrintArea" localSheetId="249" hidden="1">'41a.1-Utility5'!$A$1:$H$50</definedName>
    <definedName name="Z_AB4FBD91_4533_473A_9702_569FF6402073_.wvu.PrintArea" localSheetId="272" hidden="1">'41a.1-Utility6'!$A$1:$H$50</definedName>
    <definedName name="Z_AB4FBD91_4533_473A_9702_569FF6402073_.wvu.PrintArea" localSheetId="156" hidden="1">'41a-Utility1'!$A$1:$H$50</definedName>
    <definedName name="Z_AB4FBD91_4533_473A_9702_569FF6402073_.wvu.PrintArea" localSheetId="179" hidden="1">'41a-Utility2'!$A$1:$H$50</definedName>
    <definedName name="Z_AB4FBD91_4533_473A_9702_569FF6402073_.wvu.PrintArea" localSheetId="202" hidden="1">'41a-Utility3'!$A$1:$H$50</definedName>
    <definedName name="Z_AB4FBD91_4533_473A_9702_569FF6402073_.wvu.PrintArea" localSheetId="225" hidden="1">'41a-Utility4'!$A$1:$H$50</definedName>
    <definedName name="Z_AB4FBD91_4533_473A_9702_569FF6402073_.wvu.PrintArea" localSheetId="248" hidden="1">'41a-Utility5'!$A$1:$H$50</definedName>
    <definedName name="Z_AB4FBD91_4533_473A_9702_569FF6402073_.wvu.PrintArea" localSheetId="271" hidden="1">'41a-Utility6'!$A$1:$H$50</definedName>
    <definedName name="Z_AB4FBD91_4533_473A_9702_569FF6402073_.wvu.PrintArea" localSheetId="155" hidden="1">'41-Utility1 '!$A$1:$I$50</definedName>
    <definedName name="Z_AB4FBD91_4533_473A_9702_569FF6402073_.wvu.PrintArea" localSheetId="178" hidden="1">'41-Utility2'!$A$1:$I$50</definedName>
    <definedName name="Z_AB4FBD91_4533_473A_9702_569FF6402073_.wvu.PrintArea" localSheetId="201" hidden="1">'41-Utility3'!$A$1:$I$50</definedName>
    <definedName name="Z_AB4FBD91_4533_473A_9702_569FF6402073_.wvu.PrintArea" localSheetId="224" hidden="1">'41-Utility4'!$A$1:$I$50</definedName>
    <definedName name="Z_AB4FBD91_4533_473A_9702_569FF6402073_.wvu.PrintArea" localSheetId="247" hidden="1">'41-Utility5'!$A$1:$I$50</definedName>
    <definedName name="Z_AB4FBD91_4533_473A_9702_569FF6402073_.wvu.PrintArea" localSheetId="270" hidden="1">'41-Utility6'!$A$1:$I$50</definedName>
    <definedName name="Z_AB4FBD91_4533_473A_9702_569FF6402073_.wvu.PrintArea" localSheetId="158" hidden="1">'42-Utility1'!$A$1:$H$49</definedName>
    <definedName name="Z_AB4FBD91_4533_473A_9702_569FF6402073_.wvu.PrintArea" localSheetId="181" hidden="1">'42-Utility2'!$A$1:$H$49</definedName>
    <definedName name="Z_AB4FBD91_4533_473A_9702_569FF6402073_.wvu.PrintArea" localSheetId="204" hidden="1">'42-Utility3'!$A$1:$H$49</definedName>
    <definedName name="Z_AB4FBD91_4533_473A_9702_569FF6402073_.wvu.PrintArea" localSheetId="227" hidden="1">'42-Utility4'!$A$1:$H$49</definedName>
    <definedName name="Z_AB4FBD91_4533_473A_9702_569FF6402073_.wvu.PrintArea" localSheetId="250" hidden="1">'42-Utility5'!$A$1:$H$49</definedName>
    <definedName name="Z_AB4FBD91_4533_473A_9702_569FF6402073_.wvu.PrintArea" localSheetId="273" hidden="1">'42-Utility6'!$A$1:$H$49</definedName>
    <definedName name="Z_AB4FBD91_4533_473A_9702_569FF6402073_.wvu.PrintArea" localSheetId="159" hidden="1">'43-Utility1'!$A$1:$L$27</definedName>
    <definedName name="Z_AB4FBD91_4533_473A_9702_569FF6402073_.wvu.PrintArea" localSheetId="182" hidden="1">'43-Utility2'!$A$1:$L$27</definedName>
    <definedName name="Z_AB4FBD91_4533_473A_9702_569FF6402073_.wvu.PrintArea" localSheetId="205" hidden="1">'43-Utility3'!$A$1:$L$27</definedName>
    <definedName name="Z_AB4FBD91_4533_473A_9702_569FF6402073_.wvu.PrintArea" localSheetId="228" hidden="1">'43-Utility4'!$A$1:$L$27</definedName>
    <definedName name="Z_AB4FBD91_4533_473A_9702_569FF6402073_.wvu.PrintArea" localSheetId="251" hidden="1">'43-Utility5'!$A$1:$L$27</definedName>
    <definedName name="Z_AB4FBD91_4533_473A_9702_569FF6402073_.wvu.PrintArea" localSheetId="274" hidden="1">'43-Utility6'!$A$1:$L$27</definedName>
    <definedName name="Z_AB4FBD91_4533_473A_9702_569FF6402073_.wvu.PrintArea" localSheetId="160" hidden="1">'44-Utility1'!$A$1:$J$55</definedName>
    <definedName name="Z_AB4FBD91_4533_473A_9702_569FF6402073_.wvu.PrintArea" localSheetId="183" hidden="1">'44-Utility2'!$A$1:$J$55</definedName>
    <definedName name="Z_AB4FBD91_4533_473A_9702_569FF6402073_.wvu.PrintArea" localSheetId="206" hidden="1">'44-Utility3'!$A$1:$J$55</definedName>
    <definedName name="Z_AB4FBD91_4533_473A_9702_569FF6402073_.wvu.PrintArea" localSheetId="229" hidden="1">'44-Utility4'!$A$1:$J$55</definedName>
    <definedName name="Z_AB4FBD91_4533_473A_9702_569FF6402073_.wvu.PrintArea" localSheetId="252" hidden="1">'44-Utility5'!$A$1:$J$55</definedName>
    <definedName name="Z_AB4FBD91_4533_473A_9702_569FF6402073_.wvu.PrintArea" localSheetId="275" hidden="1">'44-Utility6'!$A$1:$J$55</definedName>
    <definedName name="Z_AB4FBD91_4533_473A_9702_569FF6402073_.wvu.PrintArea" localSheetId="161" hidden="1">'45-Utility1'!$A$1:$K$57</definedName>
    <definedName name="Z_AB4FBD91_4533_473A_9702_569FF6402073_.wvu.PrintArea" localSheetId="184" hidden="1">'45-Utility2'!$A$1:$K$57</definedName>
    <definedName name="Z_AB4FBD91_4533_473A_9702_569FF6402073_.wvu.PrintArea" localSheetId="207" hidden="1">'45-Utility3'!$A$1:$K$57</definedName>
    <definedName name="Z_AB4FBD91_4533_473A_9702_569FF6402073_.wvu.PrintArea" localSheetId="230" hidden="1">'45-Utility4'!$A$1:$K$57</definedName>
    <definedName name="Z_AB4FBD91_4533_473A_9702_569FF6402073_.wvu.PrintArea" localSheetId="253" hidden="1">'45-Utility5'!$A$1:$K$57</definedName>
    <definedName name="Z_AB4FBD91_4533_473A_9702_569FF6402073_.wvu.PrintArea" localSheetId="276" hidden="1">'45-Utility6'!$A$1:$K$57</definedName>
    <definedName name="Z_AB4FBD91_4533_473A_9702_569FF6402073_.wvu.PrintArea" localSheetId="162" hidden="1">'46-Utility1'!$A$1:$L$52</definedName>
    <definedName name="Z_AB4FBD91_4533_473A_9702_569FF6402073_.wvu.PrintArea" localSheetId="185" hidden="1">'46-Utility2 '!$A$1:$L$52</definedName>
    <definedName name="Z_AB4FBD91_4533_473A_9702_569FF6402073_.wvu.PrintArea" localSheetId="208" hidden="1">'46-Utility3'!$A$1:$L$52</definedName>
    <definedName name="Z_AB4FBD91_4533_473A_9702_569FF6402073_.wvu.PrintArea" localSheetId="231" hidden="1">'46-Utility4'!$A$1:$L$52</definedName>
    <definedName name="Z_AB4FBD91_4533_473A_9702_569FF6402073_.wvu.PrintArea" localSheetId="254" hidden="1">'46-Utility5'!$A$1:$L$52</definedName>
    <definedName name="Z_AB4FBD91_4533_473A_9702_569FF6402073_.wvu.PrintArea" localSheetId="277" hidden="1">'46-Utility6'!$A$1:$L$52</definedName>
    <definedName name="Z_AB4FBD91_4533_473A_9702_569FF6402073_.wvu.PrintArea" localSheetId="163" hidden="1">'47-Utility1'!$A$1:$L$69</definedName>
    <definedName name="Z_AB4FBD91_4533_473A_9702_569FF6402073_.wvu.PrintArea" localSheetId="186" hidden="1">'47-Utility2'!$A$1:$L$69</definedName>
    <definedName name="Z_AB4FBD91_4533_473A_9702_569FF6402073_.wvu.PrintArea" localSheetId="209" hidden="1">'47-Utility3'!$A$1:$L$69</definedName>
    <definedName name="Z_AB4FBD91_4533_473A_9702_569FF6402073_.wvu.PrintArea" localSheetId="232" hidden="1">'47-Utility4'!$A$1:$L$69</definedName>
    <definedName name="Z_AB4FBD91_4533_473A_9702_569FF6402073_.wvu.PrintArea" localSheetId="255" hidden="1">'47-Utility5'!$A$1:$L$69</definedName>
    <definedName name="Z_AB4FBD91_4533_473A_9702_569FF6402073_.wvu.PrintArea" localSheetId="278" hidden="1">'47-Utility6'!$A$1:$L$69</definedName>
    <definedName name="Z_AB4FBD91_4533_473A_9702_569FF6402073_.wvu.PrintArea" localSheetId="164" hidden="1">'48-Utility1'!$A$1:$N$61</definedName>
    <definedName name="Z_AB4FBD91_4533_473A_9702_569FF6402073_.wvu.PrintArea" localSheetId="187" hidden="1">'48-Utility2'!$A$1:$N$61</definedName>
    <definedName name="Z_AB4FBD91_4533_473A_9702_569FF6402073_.wvu.PrintArea" localSheetId="210" hidden="1">'48-Utility3'!$A$1:$N$61</definedName>
    <definedName name="Z_AB4FBD91_4533_473A_9702_569FF6402073_.wvu.PrintArea" localSheetId="233" hidden="1">'48-Utility4'!$A$1:$N$61</definedName>
    <definedName name="Z_AB4FBD91_4533_473A_9702_569FF6402073_.wvu.PrintArea" localSheetId="256" hidden="1">'48-Utility5'!$A$1:$N$61</definedName>
    <definedName name="Z_AB4FBD91_4533_473A_9702_569FF6402073_.wvu.PrintArea" localSheetId="279" hidden="1">'48-Utility6'!$A$1:$N$61</definedName>
    <definedName name="Z_AB4FBD91_4533_473A_9702_569FF6402073_.wvu.PrintArea" localSheetId="167" hidden="1">'49a.1-Utility1'!$A$1:$L$51</definedName>
    <definedName name="Z_AB4FBD91_4533_473A_9702_569FF6402073_.wvu.PrintArea" localSheetId="190" hidden="1">'49a.1-Utility2 '!$A$1:$L$51</definedName>
    <definedName name="Z_AB4FBD91_4533_473A_9702_569FF6402073_.wvu.PrintArea" localSheetId="213" hidden="1">'49a.1-Utility3'!$A$1:$L$51</definedName>
    <definedName name="Z_AB4FBD91_4533_473A_9702_569FF6402073_.wvu.PrintArea" localSheetId="236" hidden="1">'49a.1-Utility4'!$A$1:$L$51</definedName>
    <definedName name="Z_AB4FBD91_4533_473A_9702_569FF6402073_.wvu.PrintArea" localSheetId="259" hidden="1">'49a.1-Utility5'!$A$1:$L$51</definedName>
    <definedName name="Z_AB4FBD91_4533_473A_9702_569FF6402073_.wvu.PrintArea" localSheetId="282" hidden="1">'49a.1-Utility6'!$A$1:$L$51</definedName>
    <definedName name="Z_AB4FBD91_4533_473A_9702_569FF6402073_.wvu.PrintArea" localSheetId="166" hidden="1">'49a-Utility1'!$A$1:$L$51</definedName>
    <definedName name="Z_AB4FBD91_4533_473A_9702_569FF6402073_.wvu.PrintArea" localSheetId="189" hidden="1">'49a-Utility2'!$A$1:$L$51</definedName>
    <definedName name="Z_AB4FBD91_4533_473A_9702_569FF6402073_.wvu.PrintArea" localSheetId="212" hidden="1">'49a-Utility3'!$A$1:$L$51</definedName>
    <definedName name="Z_AB4FBD91_4533_473A_9702_569FF6402073_.wvu.PrintArea" localSheetId="235" hidden="1">'49a-Utility4'!$A$1:$L$51</definedName>
    <definedName name="Z_AB4FBD91_4533_473A_9702_569FF6402073_.wvu.PrintArea" localSheetId="258" hidden="1">'49a-Utility5'!$A$1:$L$51</definedName>
    <definedName name="Z_AB4FBD91_4533_473A_9702_569FF6402073_.wvu.PrintArea" localSheetId="281" hidden="1">'49a-Utility6'!$A$1:$L$51</definedName>
    <definedName name="Z_AB4FBD91_4533_473A_9702_569FF6402073_.wvu.PrintArea" localSheetId="165" hidden="1">'49-Utility1'!$A$1:$L$50</definedName>
    <definedName name="Z_AB4FBD91_4533_473A_9702_569FF6402073_.wvu.PrintArea" localSheetId="188" hidden="1">'49-Utility2'!$A$1:$L$50</definedName>
    <definedName name="Z_AB4FBD91_4533_473A_9702_569FF6402073_.wvu.PrintArea" localSheetId="211" hidden="1">'49-Utility3'!$A$1:$L$50</definedName>
    <definedName name="Z_AB4FBD91_4533_473A_9702_569FF6402073_.wvu.PrintArea" localSheetId="234" hidden="1">'49-Utility4'!$A$1:$L$50</definedName>
    <definedName name="Z_AB4FBD91_4533_473A_9702_569FF6402073_.wvu.PrintArea" localSheetId="257" hidden="1">'49-Utility5'!$A$1:$L$50</definedName>
    <definedName name="Z_AB4FBD91_4533_473A_9702_569FF6402073_.wvu.PrintArea" localSheetId="280" hidden="1">'49-Utility6'!$A$1:$L$50</definedName>
    <definedName name="Z_AB4FBD91_4533_473A_9702_569FF6402073_.wvu.PrintArea" localSheetId="12" hidden="1">'4-Trial Bal-Pub Assist Fnd'!$A$1:$H$46</definedName>
    <definedName name="Z_AB4FBD91_4533_473A_9702_569FF6402073_.wvu.PrintArea" localSheetId="168" hidden="1">'50-Utility1'!$A$1:$M$30</definedName>
    <definedName name="Z_AB4FBD91_4533_473A_9702_569FF6402073_.wvu.PrintArea" localSheetId="191" hidden="1">'50-Utility2'!$A$1:$M$30</definedName>
    <definedName name="Z_AB4FBD91_4533_473A_9702_569FF6402073_.wvu.PrintArea" localSheetId="214" hidden="1">'50-Utility3'!$A$1:$M$30</definedName>
    <definedName name="Z_AB4FBD91_4533_473A_9702_569FF6402073_.wvu.PrintArea" localSheetId="237" hidden="1">'50-Utility4'!$A$1:$M$30</definedName>
    <definedName name="Z_AB4FBD91_4533_473A_9702_569FF6402073_.wvu.PrintArea" localSheetId="260" hidden="1">'50-Utility5'!$A$1:$M$30</definedName>
    <definedName name="Z_AB4FBD91_4533_473A_9702_569FF6402073_.wvu.PrintArea" localSheetId="283" hidden="1">'50-Utility6'!$A$1:$M$30</definedName>
    <definedName name="Z_AB4FBD91_4533_473A_9702_569FF6402073_.wvu.PrintArea" localSheetId="170" hidden="1">'51a-Utility1'!$A$1:$I$27</definedName>
    <definedName name="Z_AB4FBD91_4533_473A_9702_569FF6402073_.wvu.PrintArea" localSheetId="193" hidden="1">'51a-Utility2'!$A$1:$I$27</definedName>
    <definedName name="Z_AB4FBD91_4533_473A_9702_569FF6402073_.wvu.PrintArea" localSheetId="216" hidden="1">'51a-Utility3'!$A$1:$I$27</definedName>
    <definedName name="Z_AB4FBD91_4533_473A_9702_569FF6402073_.wvu.PrintArea" localSheetId="239" hidden="1">'51a-Utility4'!$A$1:$I$27</definedName>
    <definedName name="Z_AB4FBD91_4533_473A_9702_569FF6402073_.wvu.PrintArea" localSheetId="262" hidden="1">'51a-Utility5'!$A$1:$I$27</definedName>
    <definedName name="Z_AB4FBD91_4533_473A_9702_569FF6402073_.wvu.PrintArea" localSheetId="285" hidden="1">'51a-Utility6'!$A$1:$I$27</definedName>
    <definedName name="Z_AB4FBD91_4533_473A_9702_569FF6402073_.wvu.PrintArea" localSheetId="169" hidden="1">'51-Utility1'!$A$1:$L$29</definedName>
    <definedName name="Z_AB4FBD91_4533_473A_9702_569FF6402073_.wvu.PrintArea" localSheetId="192" hidden="1">'51-Utility2'!$A$1:$L$29</definedName>
    <definedName name="Z_AB4FBD91_4533_473A_9702_569FF6402073_.wvu.PrintArea" localSheetId="215" hidden="1">'51-Utility3'!$A$1:$L$29</definedName>
    <definedName name="Z_AB4FBD91_4533_473A_9702_569FF6402073_.wvu.PrintArea" localSheetId="238" hidden="1">'51-Utility4'!$A$1:$L$29</definedName>
    <definedName name="Z_AB4FBD91_4533_473A_9702_569FF6402073_.wvu.PrintArea" localSheetId="261" hidden="1">'51-Utility5'!$A$1:$L$29</definedName>
    <definedName name="Z_AB4FBD91_4533_473A_9702_569FF6402073_.wvu.PrintArea" localSheetId="284" hidden="1">'51-Utility6'!$A$1:$L$29</definedName>
    <definedName name="Z_AB4FBD91_4533_473A_9702_569FF6402073_.wvu.PrintArea" localSheetId="172" hidden="1">'52.1-Utility1'!$A$1:$L$28</definedName>
    <definedName name="Z_AB4FBD91_4533_473A_9702_569FF6402073_.wvu.PrintArea" localSheetId="195" hidden="1">'52.1-Utility2'!$A$1:$L$28</definedName>
    <definedName name="Z_AB4FBD91_4533_473A_9702_569FF6402073_.wvu.PrintArea" localSheetId="218" hidden="1">'52.1-Utility3'!$A$1:$L$28</definedName>
    <definedName name="Z_AB4FBD91_4533_473A_9702_569FF6402073_.wvu.PrintArea" localSheetId="241" hidden="1">'52.1-Utility4'!$A$1:$L$28</definedName>
    <definedName name="Z_AB4FBD91_4533_473A_9702_569FF6402073_.wvu.PrintArea" localSheetId="264" hidden="1">'52.1-Utility5'!$A$1:$L$28</definedName>
    <definedName name="Z_AB4FBD91_4533_473A_9702_569FF6402073_.wvu.PrintArea" localSheetId="287" hidden="1">'52.1-Utility6'!$A$1:$L$28</definedName>
    <definedName name="Z_AB4FBD91_4533_473A_9702_569FF6402073_.wvu.PrintArea" localSheetId="173" hidden="1">'52.2-Utility1'!$A$1:$L$28</definedName>
    <definedName name="Z_AB4FBD91_4533_473A_9702_569FF6402073_.wvu.PrintArea" localSheetId="196" hidden="1">'52.2-Utility2'!$A$1:$L$28</definedName>
    <definedName name="Z_AB4FBD91_4533_473A_9702_569FF6402073_.wvu.PrintArea" localSheetId="219" hidden="1">'52.2-Utility3'!$A$1:$L$28</definedName>
    <definedName name="Z_AB4FBD91_4533_473A_9702_569FF6402073_.wvu.PrintArea" localSheetId="242" hidden="1">'52.2-Utility4'!$A$1:$L$28</definedName>
    <definedName name="Z_AB4FBD91_4533_473A_9702_569FF6402073_.wvu.PrintArea" localSheetId="265" hidden="1">'52.2-Utility5'!$A$1:$L$28</definedName>
    <definedName name="Z_AB4FBD91_4533_473A_9702_569FF6402073_.wvu.PrintArea" localSheetId="288" hidden="1">'52.2-Utility6'!$A$1:$L$28</definedName>
    <definedName name="Z_AB4FBD91_4533_473A_9702_569FF6402073_.wvu.PrintArea" localSheetId="174" hidden="1">'52.3-Utility1'!$A$1:$L$28</definedName>
    <definedName name="Z_AB4FBD91_4533_473A_9702_569FF6402073_.wvu.PrintArea" localSheetId="197" hidden="1">'52.3-Utility2'!$A$1:$L$28</definedName>
    <definedName name="Z_AB4FBD91_4533_473A_9702_569FF6402073_.wvu.PrintArea" localSheetId="220" hidden="1">'52.3-Utility3'!$A$1:$L$28</definedName>
    <definedName name="Z_AB4FBD91_4533_473A_9702_569FF6402073_.wvu.PrintArea" localSheetId="243" hidden="1">'52.3-Utility4'!$A$1:$L$28</definedName>
    <definedName name="Z_AB4FBD91_4533_473A_9702_569FF6402073_.wvu.PrintArea" localSheetId="266" hidden="1">'52.3-Utility5'!$A$1:$L$28</definedName>
    <definedName name="Z_AB4FBD91_4533_473A_9702_569FF6402073_.wvu.PrintArea" localSheetId="289" hidden="1">'52.3-Utility6'!$A$1:$L$28</definedName>
    <definedName name="Z_AB4FBD91_4533_473A_9702_569FF6402073_.wvu.PrintArea" localSheetId="175" hidden="1">'52-Totals-Utility 1'!$A$1:$L$28</definedName>
    <definedName name="Z_AB4FBD91_4533_473A_9702_569FF6402073_.wvu.PrintArea" localSheetId="198" hidden="1">'52-Totals-Utility2'!$A$1:$L$28</definedName>
    <definedName name="Z_AB4FBD91_4533_473A_9702_569FF6402073_.wvu.PrintArea" localSheetId="221" hidden="1">'52-Totals-Utility3'!$A$1:$L$28</definedName>
    <definedName name="Z_AB4FBD91_4533_473A_9702_569FF6402073_.wvu.PrintArea" localSheetId="244" hidden="1">'52-Totals-Utility4'!$A$1:$L$28</definedName>
    <definedName name="Z_AB4FBD91_4533_473A_9702_569FF6402073_.wvu.PrintArea" localSheetId="267" hidden="1">'52-Totals-Utility5'!$A$1:$L$28</definedName>
    <definedName name="Z_AB4FBD91_4533_473A_9702_569FF6402073_.wvu.PrintArea" localSheetId="290" hidden="1">'52-Totals-Utility6'!$A$1:$L$28</definedName>
    <definedName name="Z_AB4FBD91_4533_473A_9702_569FF6402073_.wvu.PrintArea" localSheetId="286" hidden="1">'52-Utility 6'!$A$1:$L$28</definedName>
    <definedName name="Z_AB4FBD91_4533_473A_9702_569FF6402073_.wvu.PrintArea" localSheetId="171" hidden="1">'52-Utility1'!$A$1:$L$28</definedName>
    <definedName name="Z_AB4FBD91_4533_473A_9702_569FF6402073_.wvu.PrintArea" localSheetId="194" hidden="1">'52-Utility2'!$A$1:$L$28</definedName>
    <definedName name="Z_AB4FBD91_4533_473A_9702_569FF6402073_.wvu.PrintArea" localSheetId="217" hidden="1">'52-Utility3'!$A$1:$L$28</definedName>
    <definedName name="Z_AB4FBD91_4533_473A_9702_569FF6402073_.wvu.PrintArea" localSheetId="240" hidden="1">'52-Utility4'!$A$1:$L$28</definedName>
    <definedName name="Z_AB4FBD91_4533_473A_9702_569FF6402073_.wvu.PrintArea" localSheetId="263" hidden="1">'52-Utility5'!$A$1:$L$28</definedName>
    <definedName name="Z_AB4FBD91_4533_473A_9702_569FF6402073_.wvu.PrintArea" localSheetId="176" hidden="1">'53-Utility1'!$A$1:$J$54</definedName>
    <definedName name="Z_AB4FBD91_4533_473A_9702_569FF6402073_.wvu.PrintArea" localSheetId="199" hidden="1">'53-Utility2'!$A$1:$J$54</definedName>
    <definedName name="Z_AB4FBD91_4533_473A_9702_569FF6402073_.wvu.PrintArea" localSheetId="222" hidden="1">'53-Utility3'!$A$1:$J$54</definedName>
    <definedName name="Z_AB4FBD91_4533_473A_9702_569FF6402073_.wvu.PrintArea" localSheetId="245" hidden="1">'53-Utility4'!$A$1:$J$54</definedName>
    <definedName name="Z_AB4FBD91_4533_473A_9702_569FF6402073_.wvu.PrintArea" localSheetId="268" hidden="1">'53-Utility5'!$A$1:$J$54</definedName>
    <definedName name="Z_AB4FBD91_4533_473A_9702_569FF6402073_.wvu.PrintArea" localSheetId="291" hidden="1">'53-Utility6'!$A$1:$J$54</definedName>
    <definedName name="Z_AB4FBD91_4533_473A_9702_569FF6402073_.wvu.PrintArea" localSheetId="177" hidden="1">'54-Utility1'!$A$1:$J$52</definedName>
    <definedName name="Z_AB4FBD91_4533_473A_9702_569FF6402073_.wvu.PrintArea" localSheetId="200" hidden="1">'54-Utility2'!$A$1:$J$52</definedName>
    <definedName name="Z_AB4FBD91_4533_473A_9702_569FF6402073_.wvu.PrintArea" localSheetId="223" hidden="1">'54-Utility3'!$A$1:$J$52</definedName>
    <definedName name="Z_AB4FBD91_4533_473A_9702_569FF6402073_.wvu.PrintArea" localSheetId="246" hidden="1">'54-Utility4'!$A$1:$J$52</definedName>
    <definedName name="Z_AB4FBD91_4533_473A_9702_569FF6402073_.wvu.PrintArea" localSheetId="269" hidden="1">'54-Utility5'!$A$1:$J$52</definedName>
    <definedName name="Z_AB4FBD91_4533_473A_9702_569FF6402073_.wvu.PrintArea" localSheetId="292" hidden="1">'54-Utility6'!$A$1:$J$52</definedName>
    <definedName name="Z_AB4FBD91_4533_473A_9702_569FF6402073_.wvu.PrintArea" localSheetId="13" hidden="1">'5-Trial Bal-Grants'!$A$1:$H$48</definedName>
    <definedName name="Z_AB4FBD91_4533_473A_9702_569FF6402073_.wvu.PrintArea" localSheetId="15" hidden="1">'6.1-Trial Bal-Trust Fnds'!$A$1:$H$48</definedName>
    <definedName name="Z_AB4FBD91_4533_473A_9702_569FF6402073_.wvu.PrintArea" localSheetId="16" hidden="1">'6.2-Trial Bal-Trust Fnds'!$A$1:$H$48</definedName>
    <definedName name="Z_AB4FBD91_4533_473A_9702_569FF6402073_.wvu.PrintArea" localSheetId="17" hidden="1">'6.3-Trial Bal-Trust Fnds'!$A$1:$H$48</definedName>
    <definedName name="Z_AB4FBD91_4533_473A_9702_569FF6402073_.wvu.PrintArea" localSheetId="18" hidden="1">'6.4-Trial Bal-Trust Fnds'!$A$1:$H$48</definedName>
    <definedName name="Z_AB4FBD91_4533_473A_9702_569FF6402073_.wvu.PrintArea" localSheetId="19" hidden="1">'6.TOTAL-Trial Bal-Trust Fnds'!$A$1:$H$48</definedName>
    <definedName name="Z_AB4FBD91_4533_473A_9702_569FF6402073_.wvu.PrintArea" localSheetId="1" hidden="1">'69 - Instructions'!$A$1:$M$87</definedName>
    <definedName name="Z_AB4FBD91_4533_473A_9702_569FF6402073_.wvu.PrintArea" localSheetId="21" hidden="1">'6b.1-Trust Fund Reserves'!$A$1:$M$50</definedName>
    <definedName name="Z_AB4FBD91_4533_473A_9702_569FF6402073_.wvu.PrintArea" localSheetId="22" hidden="1">'6b.2-Trust Fund Reserves'!$A$1:$M$50</definedName>
    <definedName name="Z_AB4FBD91_4533_473A_9702_569FF6402073_.wvu.PrintArea" localSheetId="23" hidden="1">'6b.3-Trust Fund Reserves'!$A$1:$M$50</definedName>
    <definedName name="Z_AB4FBD91_4533_473A_9702_569FF6402073_.wvu.PrintArea" localSheetId="24" hidden="1">'6b-Total Trust Fund Reserves'!$A$1:$M$50</definedName>
    <definedName name="Z_AB4FBD91_4533_473A_9702_569FF6402073_.wvu.PrintArea" localSheetId="20" hidden="1">'6b-Trust Fund Reserves'!$A$1:$M$50</definedName>
    <definedName name="Z_AB4FBD91_4533_473A_9702_569FF6402073_.wvu.PrintArea" localSheetId="14" hidden="1">'6-Trial Bal-Trust Fnds'!$A$1:$H$47</definedName>
    <definedName name="Z_AB4FBD91_4533_473A_9702_569FF6402073_.wvu.PrintArea" localSheetId="25" hidden="1">'7-Trust Asm Cash &amp; Investments'!$A$1:$L$27</definedName>
    <definedName name="Z_AB4FBD91_4533_473A_9702_569FF6402073_.wvu.PrintArea" localSheetId="27" hidden="1">'8.1-Trial Bal-Gen Cap Fund'!$A$1:$H$48</definedName>
    <definedName name="Z_AB4FBD91_4533_473A_9702_569FF6402073_.wvu.PrintArea" localSheetId="26" hidden="1">'8-Trial Bal-Gen Cap Fund'!$A$1:$H$48</definedName>
    <definedName name="Z_AB4FBD91_4533_473A_9702_569FF6402073_.wvu.PrintArea" localSheetId="33" hidden="1">'9a TOTAL-Cash Reconciliation'!$A$1:$F$49</definedName>
    <definedName name="Z_AB4FBD91_4533_473A_9702_569FF6402073_.wvu.PrintArea" localSheetId="30" hidden="1">'9a.1-Cash Reconciliation'!$A$1:$F$49</definedName>
    <definedName name="Z_AB4FBD91_4533_473A_9702_569FF6402073_.wvu.PrintArea" localSheetId="31" hidden="1">'9a.2-Cash Reconciliation'!$A$1:$F$49</definedName>
    <definedName name="Z_AB4FBD91_4533_473A_9702_569FF6402073_.wvu.PrintArea" localSheetId="32" hidden="1">'9a.3-Cash Reconciliation'!$A$1:$F$49</definedName>
    <definedName name="Z_AB4FBD91_4533_473A_9702_569FF6402073_.wvu.PrintArea" localSheetId="29" hidden="1">'9a-Cash Reconciliation'!$A$1:$F$49</definedName>
    <definedName name="Z_AB4FBD91_4533_473A_9702_569FF6402073_.wvu.PrintArea" localSheetId="28" hidden="1">'9-Cash Reconciliation'!$A$1:$I$52</definedName>
    <definedName name="Z_AB4FBD91_4533_473A_9702_569FF6402073_.wvu.PrintArea" localSheetId="0" hidden="1">Instructions!$A$1:$B$238</definedName>
    <definedName name="Z_AB4FBD91_4533_473A_9702_569FF6402073_.wvu.PrintArea" localSheetId="2" hidden="1">'KEY INPUTS'!$C$1:$E$60</definedName>
    <definedName name="Z_AC653BD0_46E3_42CB_9C76_32121A57B65A_.wvu.Cols" localSheetId="4" hidden="1">'1- Cover'!$R:$R,'1- Cover'!$Y:$Y</definedName>
    <definedName name="Z_AC653BD0_46E3_42CB_9C76_32121A57B65A_.wvu.Cols" localSheetId="5" hidden="1">'1a - RMA Certification'!$Q:$Q,'1a - RMA Certification'!$Y:$Y</definedName>
    <definedName name="Z_AC653BD0_46E3_42CB_9C76_32121A57B65A_.wvu.Cols" localSheetId="7" hidden="1">'1c - Fed &amp; State Finan Asst.'!$P:$P</definedName>
    <definedName name="Z_AC653BD0_46E3_42CB_9C76_32121A57B65A_.wvu.Cols" localSheetId="2" hidden="1">'KEY INPUTS'!$A:$B,'KEY INPUTS'!$Q:$AA</definedName>
    <definedName name="Z_AC653BD0_46E3_42CB_9C76_32121A57B65A_.wvu.FilterData" localSheetId="2" hidden="1">'KEY INPUTS'!$Z$6:$Z$571</definedName>
    <definedName name="Z_AC653BD0_46E3_42CB_9C76_32121A57B65A_.wvu.PrintArea" localSheetId="4" hidden="1">'1- Cover'!$A$1:$O$67</definedName>
    <definedName name="Z_AC653BD0_46E3_42CB_9C76_32121A57B65A_.wvu.PrintArea" localSheetId="59" hidden="1">'10 Totals Grants Receivable'!$A$1:$K$27</definedName>
    <definedName name="Z_AC653BD0_46E3_42CB_9C76_32121A57B65A_.wvu.PrintArea" localSheetId="44" hidden="1">'10.10-Grants Receivable'!$A$1:$K$27</definedName>
    <definedName name="Z_AC653BD0_46E3_42CB_9C76_32121A57B65A_.wvu.PrintArea" localSheetId="45" hidden="1">'10.11-Grants Receivable'!$A$1:$K$27</definedName>
    <definedName name="Z_AC653BD0_46E3_42CB_9C76_32121A57B65A_.wvu.PrintArea" localSheetId="46" hidden="1">'10.12-Grants Receivable'!$A$1:$K$27</definedName>
    <definedName name="Z_AC653BD0_46E3_42CB_9C76_32121A57B65A_.wvu.PrintArea" localSheetId="47" hidden="1">'10.13-Grants Receivable'!$A$1:$K$27</definedName>
    <definedName name="Z_AC653BD0_46E3_42CB_9C76_32121A57B65A_.wvu.PrintArea" localSheetId="48" hidden="1">'10.14-Grants Receivable'!$A$1:$K$27</definedName>
    <definedName name="Z_AC653BD0_46E3_42CB_9C76_32121A57B65A_.wvu.PrintArea" localSheetId="49" hidden="1">'10.15-Grants Receivable'!$A$1:$K$27</definedName>
    <definedName name="Z_AC653BD0_46E3_42CB_9C76_32121A57B65A_.wvu.PrintArea" localSheetId="50" hidden="1">'10.16-Grants Receivable'!$A$1:$K$27</definedName>
    <definedName name="Z_AC653BD0_46E3_42CB_9C76_32121A57B65A_.wvu.PrintArea" localSheetId="51" hidden="1">'10.17-Grants Receivable'!$A$1:$K$27</definedName>
    <definedName name="Z_AC653BD0_46E3_42CB_9C76_32121A57B65A_.wvu.PrintArea" localSheetId="52" hidden="1">'10.18-Grants Receivable'!$A$1:$K$27</definedName>
    <definedName name="Z_AC653BD0_46E3_42CB_9C76_32121A57B65A_.wvu.PrintArea" localSheetId="53" hidden="1">'10.19-Grants Receivable'!$A$1:$K$27</definedName>
    <definedName name="Z_AC653BD0_46E3_42CB_9C76_32121A57B65A_.wvu.PrintArea" localSheetId="35" hidden="1">'10.1-Grants Receivable'!$A$1:$K$27</definedName>
    <definedName name="Z_AC653BD0_46E3_42CB_9C76_32121A57B65A_.wvu.PrintArea" localSheetId="54" hidden="1">'10.20-Grants Receivable'!$A$1:$K$27</definedName>
    <definedName name="Z_AC653BD0_46E3_42CB_9C76_32121A57B65A_.wvu.PrintArea" localSheetId="55" hidden="1">'10.21-Grants Receivable'!$A$1:$K$27</definedName>
    <definedName name="Z_AC653BD0_46E3_42CB_9C76_32121A57B65A_.wvu.PrintArea" localSheetId="56" hidden="1">'10.22-Grants Receivable'!$A$1:$K$27</definedName>
    <definedName name="Z_AC653BD0_46E3_42CB_9C76_32121A57B65A_.wvu.PrintArea" localSheetId="57" hidden="1">'10.23-Grants Receivable'!$A$1:$K$27</definedName>
    <definedName name="Z_AC653BD0_46E3_42CB_9C76_32121A57B65A_.wvu.PrintArea" localSheetId="58" hidden="1">'10.24-Grants Receivable'!$A$1:$K$27</definedName>
    <definedName name="Z_AC653BD0_46E3_42CB_9C76_32121A57B65A_.wvu.PrintArea" localSheetId="36" hidden="1">'10.2-Grants Receivable'!$A$1:$K$27</definedName>
    <definedName name="Z_AC653BD0_46E3_42CB_9C76_32121A57B65A_.wvu.PrintArea" localSheetId="37" hidden="1">'10.3-Grants Receivable'!$A$1:$K$27</definedName>
    <definedName name="Z_AC653BD0_46E3_42CB_9C76_32121A57B65A_.wvu.PrintArea" localSheetId="38" hidden="1">'10.4-Grants Receivable'!$A$1:$K$27</definedName>
    <definedName name="Z_AC653BD0_46E3_42CB_9C76_32121A57B65A_.wvu.PrintArea" localSheetId="39" hidden="1">'10.5-Grants Receivable'!$A$1:$K$27</definedName>
    <definedName name="Z_AC653BD0_46E3_42CB_9C76_32121A57B65A_.wvu.PrintArea" localSheetId="40" hidden="1">'10.6-Grants Receivable'!$A$1:$K$27</definedName>
    <definedName name="Z_AC653BD0_46E3_42CB_9C76_32121A57B65A_.wvu.PrintArea" localSheetId="41" hidden="1">'10.7-Grants Receivable'!$A$1:$K$27</definedName>
    <definedName name="Z_AC653BD0_46E3_42CB_9C76_32121A57B65A_.wvu.PrintArea" localSheetId="42" hidden="1">'10.8-Grants Receivable'!$A$1:$K$27</definedName>
    <definedName name="Z_AC653BD0_46E3_42CB_9C76_32121A57B65A_.wvu.PrintArea" localSheetId="43" hidden="1">'10.9-Grants Receivable'!$A$1:$K$27</definedName>
    <definedName name="Z_AC653BD0_46E3_42CB_9C76_32121A57B65A_.wvu.PrintArea" localSheetId="34" hidden="1">'10-Grants Receivable'!$A$1:$K$27</definedName>
    <definedName name="Z_AC653BD0_46E3_42CB_9C76_32121A57B65A_.wvu.PrintArea" localSheetId="60" hidden="1">'11 Grants Approp Rsrv'!$A$1:$L$27</definedName>
    <definedName name="Z_AC653BD0_46E3_42CB_9C76_32121A57B65A_.wvu.PrintArea" localSheetId="100" hidden="1">'11- Totals Grants Approp Rsrv'!$A$1:$L$27</definedName>
    <definedName name="Z_AC653BD0_46E3_42CB_9C76_32121A57B65A_.wvu.PrintArea" localSheetId="61" hidden="1">'11.1 Grants Approp Rsrv'!$A$1:$L$27</definedName>
    <definedName name="Z_AC653BD0_46E3_42CB_9C76_32121A57B65A_.wvu.PrintArea" localSheetId="70" hidden="1">'11.10 Grants Approp Rsrv'!$A$1:$L$27</definedName>
    <definedName name="Z_AC653BD0_46E3_42CB_9C76_32121A57B65A_.wvu.PrintArea" localSheetId="71" hidden="1">'11.11 Grants Approp Rsrv'!$A$1:$L$27</definedName>
    <definedName name="Z_AC653BD0_46E3_42CB_9C76_32121A57B65A_.wvu.PrintArea" localSheetId="72" hidden="1">'11.12 Grants Approp Rsrv'!$A$1:$L$27</definedName>
    <definedName name="Z_AC653BD0_46E3_42CB_9C76_32121A57B65A_.wvu.PrintArea" localSheetId="73" hidden="1">'11.13 Grants Approp Rsrv'!$A$1:$L$27</definedName>
    <definedName name="Z_AC653BD0_46E3_42CB_9C76_32121A57B65A_.wvu.PrintArea" localSheetId="74" hidden="1">'11.14 Grants Approp Rsrv'!$A$1:$L$27</definedName>
    <definedName name="Z_AC653BD0_46E3_42CB_9C76_32121A57B65A_.wvu.PrintArea" localSheetId="75" hidden="1">'11.15 Grants Approp Rsrv'!$A$1:$L$27</definedName>
    <definedName name="Z_AC653BD0_46E3_42CB_9C76_32121A57B65A_.wvu.PrintArea" localSheetId="76" hidden="1">'11.16 Grants Approp Rsrv'!$A$1:$L$27</definedName>
    <definedName name="Z_AC653BD0_46E3_42CB_9C76_32121A57B65A_.wvu.PrintArea" localSheetId="77" hidden="1">'11.17 Grants Approp Rsrv'!$A$1:$L$27</definedName>
    <definedName name="Z_AC653BD0_46E3_42CB_9C76_32121A57B65A_.wvu.PrintArea" localSheetId="78" hidden="1">'11.18 Grants Approp Rsrv'!$A$1:$L$27</definedName>
    <definedName name="Z_AC653BD0_46E3_42CB_9C76_32121A57B65A_.wvu.PrintArea" localSheetId="79" hidden="1">'11.19 Grants Approp Rsrv'!$A$1:$L$27</definedName>
    <definedName name="Z_AC653BD0_46E3_42CB_9C76_32121A57B65A_.wvu.PrintArea" localSheetId="62" hidden="1">'11.2 Grants Approp Rsrv'!$A$1:$L$27</definedName>
    <definedName name="Z_AC653BD0_46E3_42CB_9C76_32121A57B65A_.wvu.PrintArea" localSheetId="80" hidden="1">'11.20 Grants Approp Rsrv'!$A$1:$L$27</definedName>
    <definedName name="Z_AC653BD0_46E3_42CB_9C76_32121A57B65A_.wvu.PrintArea" localSheetId="81" hidden="1">'11.21 Grants Approp Rsrv'!$A$1:$L$27</definedName>
    <definedName name="Z_AC653BD0_46E3_42CB_9C76_32121A57B65A_.wvu.PrintArea" localSheetId="82" hidden="1">'11.22 Grants Approp Rsrv'!$A$1:$L$27</definedName>
    <definedName name="Z_AC653BD0_46E3_42CB_9C76_32121A57B65A_.wvu.PrintArea" localSheetId="83" hidden="1">'11.23 Grants Approp Rsrv'!$A$1:$L$27</definedName>
    <definedName name="Z_AC653BD0_46E3_42CB_9C76_32121A57B65A_.wvu.PrintArea" localSheetId="84" hidden="1">'11.24 Grants Approp Rsrv'!$A$1:$L$27</definedName>
    <definedName name="Z_AC653BD0_46E3_42CB_9C76_32121A57B65A_.wvu.PrintArea" localSheetId="85" hidden="1">'11.25 Grants Approp Rsrv'!$A$1:$L$27</definedName>
    <definedName name="Z_AC653BD0_46E3_42CB_9C76_32121A57B65A_.wvu.PrintArea" localSheetId="86" hidden="1">'11.26 Grants Approp Rsrv'!$A$1:$L$27</definedName>
    <definedName name="Z_AC653BD0_46E3_42CB_9C76_32121A57B65A_.wvu.PrintArea" localSheetId="87" hidden="1">'11.27 Grants Approp Rsrv'!$A$1:$L$27</definedName>
    <definedName name="Z_AC653BD0_46E3_42CB_9C76_32121A57B65A_.wvu.PrintArea" localSheetId="88" hidden="1">'11.28 Grants Approp Rsrv'!$A$1:$L$27</definedName>
    <definedName name="Z_AC653BD0_46E3_42CB_9C76_32121A57B65A_.wvu.PrintArea" localSheetId="89" hidden="1">'11.29 Grants Approp Rsrv'!$A$1:$L$27</definedName>
    <definedName name="Z_AC653BD0_46E3_42CB_9C76_32121A57B65A_.wvu.PrintArea" localSheetId="63" hidden="1">'11.3 Grants Approp Rsrv'!$A$1:$L$27</definedName>
    <definedName name="Z_AC653BD0_46E3_42CB_9C76_32121A57B65A_.wvu.PrintArea" localSheetId="90" hidden="1">'11.30 Grants Approp Rsrv'!$A$1:$L$27</definedName>
    <definedName name="Z_AC653BD0_46E3_42CB_9C76_32121A57B65A_.wvu.PrintArea" localSheetId="91" hidden="1">'11.31 Grants Approp Rsrv'!$A$1:$L$27</definedName>
    <definedName name="Z_AC653BD0_46E3_42CB_9C76_32121A57B65A_.wvu.PrintArea" localSheetId="92" hidden="1">'11.32 Grants Approp Rsrv'!$A$1:$L$27</definedName>
    <definedName name="Z_AC653BD0_46E3_42CB_9C76_32121A57B65A_.wvu.PrintArea" localSheetId="93" hidden="1">'11.33 Grants Approp Rsrv'!$A$1:$L$27</definedName>
    <definedName name="Z_AC653BD0_46E3_42CB_9C76_32121A57B65A_.wvu.PrintArea" localSheetId="94" hidden="1">'11.34 Grants Approp Rsrv'!$A$1:$L$27</definedName>
    <definedName name="Z_AC653BD0_46E3_42CB_9C76_32121A57B65A_.wvu.PrintArea" localSheetId="95" hidden="1">'11.35 Grants Approp Rsrv'!$A$1:$L$27</definedName>
    <definedName name="Z_AC653BD0_46E3_42CB_9C76_32121A57B65A_.wvu.PrintArea" localSheetId="96" hidden="1">'11.36 Grants Approp Rsrv'!$A$1:$L$27</definedName>
    <definedName name="Z_AC653BD0_46E3_42CB_9C76_32121A57B65A_.wvu.PrintArea" localSheetId="97" hidden="1">'11.37 Grants Approp Rsrv'!$A$1:$L$27</definedName>
    <definedName name="Z_AC653BD0_46E3_42CB_9C76_32121A57B65A_.wvu.PrintArea" localSheetId="98" hidden="1">'11.38 Grants Approp Rsrv'!$A$1:$L$27</definedName>
    <definedName name="Z_AC653BD0_46E3_42CB_9C76_32121A57B65A_.wvu.PrintArea" localSheetId="99" hidden="1">'11.39 Grants Approp Rsrv'!$A$1:$L$27</definedName>
    <definedName name="Z_AC653BD0_46E3_42CB_9C76_32121A57B65A_.wvu.PrintArea" localSheetId="64" hidden="1">'11.4 Grants Approp Rsrv'!$A$1:$L$27</definedName>
    <definedName name="Z_AC653BD0_46E3_42CB_9C76_32121A57B65A_.wvu.PrintArea" localSheetId="65" hidden="1">'11.5 Grants Approp Rsrv'!$A$1:$L$27</definedName>
    <definedName name="Z_AC653BD0_46E3_42CB_9C76_32121A57B65A_.wvu.PrintArea" localSheetId="66" hidden="1">'11.6 Grants Approp Rsrv'!$A$1:$L$27</definedName>
    <definedName name="Z_AC653BD0_46E3_42CB_9C76_32121A57B65A_.wvu.PrintArea" localSheetId="67" hidden="1">'11.7 Grants Approp Rsrv'!$A$1:$L$27</definedName>
    <definedName name="Z_AC653BD0_46E3_42CB_9C76_32121A57B65A_.wvu.PrintArea" localSheetId="68" hidden="1">'11.8 Grants Approp Rsrv'!$A$1:$L$27</definedName>
    <definedName name="Z_AC653BD0_46E3_42CB_9C76_32121A57B65A_.wvu.PrintArea" localSheetId="69" hidden="1">'11.9 Grants Approp Rsrv'!$A$1:$L$27</definedName>
    <definedName name="Z_AC653BD0_46E3_42CB_9C76_32121A57B65A_.wvu.PrintArea" localSheetId="104" hidden="1">'12 Total-Grants Unappropriated'!$A$1:$K$27</definedName>
    <definedName name="Z_AC653BD0_46E3_42CB_9C76_32121A57B65A_.wvu.PrintArea" localSheetId="102" hidden="1">'12.1-Grants Unappropriated'!$A$1:$K$27</definedName>
    <definedName name="Z_AC653BD0_46E3_42CB_9C76_32121A57B65A_.wvu.PrintArea" localSheetId="103" hidden="1">'12.2-Grants Unappropriated'!$A$1:$K$27</definedName>
    <definedName name="Z_AC653BD0_46E3_42CB_9C76_32121A57B65A_.wvu.PrintArea" localSheetId="101" hidden="1">'12-Grants Unappropriated'!$A$1:$K$27</definedName>
    <definedName name="Z_AC653BD0_46E3_42CB_9C76_32121A57B65A_.wvu.PrintArea" localSheetId="105" hidden="1">'13-Other Taxes'!$A$1:$H$51</definedName>
    <definedName name="Z_AC653BD0_46E3_42CB_9C76_32121A57B65A_.wvu.PrintArea" localSheetId="106" hidden="1">'14-Other Taxes'!$A$1:$H$52</definedName>
    <definedName name="Z_AC653BD0_46E3_42CB_9C76_32121A57B65A_.wvu.PrintArea" localSheetId="107" hidden="1">'15-Other Taxes'!$A$1:$J$47</definedName>
    <definedName name="Z_AC653BD0_46E3_42CB_9C76_32121A57B65A_.wvu.PrintArea" localSheetId="113" hidden="1">'17a Totals-Budget Revenues'!$A$1:$J$49</definedName>
    <definedName name="Z_AC653BD0_46E3_42CB_9C76_32121A57B65A_.wvu.PrintArea" localSheetId="110" hidden="1">'17a.1-Budget Revenues '!$A$1:$J$49</definedName>
    <definedName name="Z_AC653BD0_46E3_42CB_9C76_32121A57B65A_.wvu.PrintArea" localSheetId="111" hidden="1">'17a.2-Budget Revenues'!$A$1:$J$49</definedName>
    <definedName name="Z_AC653BD0_46E3_42CB_9C76_32121A57B65A_.wvu.PrintArea" localSheetId="112" hidden="1">'17a.3-Budget Revenues'!$A$1:$J$49</definedName>
    <definedName name="Z_AC653BD0_46E3_42CB_9C76_32121A57B65A_.wvu.PrintArea" localSheetId="109" hidden="1">'17a-Budget Revenues'!$A$1:$J$49</definedName>
    <definedName name="Z_AC653BD0_46E3_42CB_9C76_32121A57B65A_.wvu.PrintArea" localSheetId="108" hidden="1">'17-Budget Revenues'!$A$1:$J$50</definedName>
    <definedName name="Z_AC653BD0_46E3_42CB_9C76_32121A57B65A_.wvu.PrintArea" localSheetId="114" hidden="1">'18-Budget Appropriations'!$A$1:$J$54</definedName>
    <definedName name="Z_AC653BD0_46E3_42CB_9C76_32121A57B65A_.wvu.PrintArea" localSheetId="115" hidden="1">'19-Results of Op-Cur Fnd'!$A$1:$I$48</definedName>
    <definedName name="Z_AC653BD0_46E3_42CB_9C76_32121A57B65A_.wvu.PrintArea" localSheetId="5" hidden="1">'1a - RMA Certification'!$A$1:$N$70</definedName>
    <definedName name="Z_AC653BD0_46E3_42CB_9C76_32121A57B65A_.wvu.PrintArea" localSheetId="6" hidden="1">'1b - Local Exam Qual Cert'!$A$1:$M$68</definedName>
    <definedName name="Z_AC653BD0_46E3_42CB_9C76_32121A57B65A_.wvu.PrintArea" localSheetId="7" hidden="1">'1c - Fed &amp; State Finan Asst.'!$A$1:$M$71</definedName>
    <definedName name="Z_AC653BD0_46E3_42CB_9C76_32121A57B65A_.wvu.PrintArea" localSheetId="8" hidden="1">'2 - No Utility Fund Cert'!$A$1:$M$59</definedName>
    <definedName name="Z_AC653BD0_46E3_42CB_9C76_32121A57B65A_.wvu.PrintArea" localSheetId="118" hidden="1">'20 Total-Misc Rev Not Ant'!$A$1:$H$47</definedName>
    <definedName name="Z_AC653BD0_46E3_42CB_9C76_32121A57B65A_.wvu.PrintArea" localSheetId="117" hidden="1">'20.1-Misc Rev Not Ant'!$A$1:$H$47</definedName>
    <definedName name="Z_AC653BD0_46E3_42CB_9C76_32121A57B65A_.wvu.PrintArea" localSheetId="116" hidden="1">'20-Misc Rev Not Ant'!$A$1:$H$47</definedName>
    <definedName name="Z_AC653BD0_46E3_42CB_9C76_32121A57B65A_.wvu.PrintArea" localSheetId="119" hidden="1">'21-Current Fund Surplus'!$A$1:$L$50</definedName>
    <definedName name="Z_AC653BD0_46E3_42CB_9C76_32121A57B65A_.wvu.PrintArea" localSheetId="120" hidden="1">'22-2019 Levy'!$A$1:$N$63</definedName>
    <definedName name="Z_AC653BD0_46E3_42CB_9C76_32121A57B65A_.wvu.PrintArea" localSheetId="121" hidden="1">'22a-Tax Levy Sale'!$A$1:$K$61</definedName>
    <definedName name="Z_AC653BD0_46E3_42CB_9C76_32121A57B65A_.wvu.PrintArea" localSheetId="122" hidden="1">'23-SCVet Deductions'!$A$1:$J$54</definedName>
    <definedName name="Z_AC653BD0_46E3_42CB_9C76_32121A57B65A_.wvu.PrintArea" localSheetId="123" hidden="1">'24-Reserves for Tax Appeals'!$A$1:$J$60</definedName>
    <definedName name="Z_AC653BD0_46E3_42CB_9C76_32121A57B65A_.wvu.PrintArea" localSheetId="124" hidden="1">'26-Delinquent Taxes and Liens'!$A$1:$M$49</definedName>
    <definedName name="Z_AC653BD0_46E3_42CB_9C76_32121A57B65A_.wvu.PrintArea" localSheetId="125" hidden="1">'27-Foreclosed Property'!$A$1:$L$50</definedName>
    <definedName name="Z_AC653BD0_46E3_42CB_9C76_32121A57B65A_.wvu.PrintArea" localSheetId="126" hidden="1">'28-Deferred Charges'!$A$1:$N$58</definedName>
    <definedName name="Z_AC653BD0_46E3_42CB_9C76_32121A57B65A_.wvu.PrintArea" localSheetId="127" hidden="1">'29-Special Emergency'!$A$1:$L$30</definedName>
    <definedName name="Z_AC653BD0_46E3_42CB_9C76_32121A57B65A_.wvu.PrintArea" localSheetId="128" hidden="1">'30-Special Emergency'!$A$1:$L$30</definedName>
    <definedName name="Z_AC653BD0_46E3_42CB_9C76_32121A57B65A_.wvu.PrintArea" localSheetId="131" hidden="1">'31A.1-Loan Schedule'!$A$1:$L$47</definedName>
    <definedName name="Z_AC653BD0_46E3_42CB_9C76_32121A57B65A_.wvu.PrintArea" localSheetId="132" hidden="1">'31A.2-Loan Schedule'!$A$1:$L$47</definedName>
    <definedName name="Z_AC653BD0_46E3_42CB_9C76_32121A57B65A_.wvu.PrintArea" localSheetId="130" hidden="1">'31A-Loan Schedule'!$A$1:$L$47</definedName>
    <definedName name="Z_AC653BD0_46E3_42CB_9C76_32121A57B65A_.wvu.PrintArea" localSheetId="129" hidden="1">'31-Capital Bond Schedule'!$A$1:$L$47</definedName>
    <definedName name="Z_AC653BD0_46E3_42CB_9C76_32121A57B65A_.wvu.PrintArea" localSheetId="133" hidden="1">'32-Bond Schedule'!$A$1:$L$48</definedName>
    <definedName name="Z_AC653BD0_46E3_42CB_9C76_32121A57B65A_.wvu.PrintArea" localSheetId="136" hidden="1">'33 Totals-Note Debt Service'!$A$1:$L$29</definedName>
    <definedName name="Z_AC653BD0_46E3_42CB_9C76_32121A57B65A_.wvu.PrintArea" localSheetId="135" hidden="1">'33.1-Note Debt Service'!$A$1:$L$29</definedName>
    <definedName name="Z_AC653BD0_46E3_42CB_9C76_32121A57B65A_.wvu.PrintArea" localSheetId="134" hidden="1">'33-Note Debt Service'!$A$1:$L$29</definedName>
    <definedName name="Z_AC653BD0_46E3_42CB_9C76_32121A57B65A_.wvu.PrintArea" localSheetId="138" hidden="1">'34a-Cap Lease Program Oblg'!$A$1:$I$27</definedName>
    <definedName name="Z_AC653BD0_46E3_42CB_9C76_32121A57B65A_.wvu.PrintArea" localSheetId="137" hidden="1">'34-Assmt Note Debt Service'!$A$1:$L$29</definedName>
    <definedName name="Z_AC653BD0_46E3_42CB_9C76_32121A57B65A_.wvu.PrintArea" localSheetId="139" hidden="1">'35- Cap Fund Imprv Auth'!$A$1:$L$29</definedName>
    <definedName name="Z_AC653BD0_46E3_42CB_9C76_32121A57B65A_.wvu.PrintArea" localSheetId="149" hidden="1">'35 Totals- Cap Fund Imprv Auth'!$A$1:$L$29</definedName>
    <definedName name="Z_AC653BD0_46E3_42CB_9C76_32121A57B65A_.wvu.PrintArea" localSheetId="140" hidden="1">'35.1- Cap Fund Imprv Auth '!$A$1:$L$29</definedName>
    <definedName name="Z_AC653BD0_46E3_42CB_9C76_32121A57B65A_.wvu.PrintArea" localSheetId="141" hidden="1">'35.2- Cap Fund Imprv Auth'!$A$1:$L$29</definedName>
    <definedName name="Z_AC653BD0_46E3_42CB_9C76_32121A57B65A_.wvu.PrintArea" localSheetId="142" hidden="1">'35.3- Cap Fund Imprv Auth'!$A$1:$L$29</definedName>
    <definedName name="Z_AC653BD0_46E3_42CB_9C76_32121A57B65A_.wvu.PrintArea" localSheetId="143" hidden="1">'35.4- Cap Fund Imprv Auth'!$A$1:$L$29</definedName>
    <definedName name="Z_AC653BD0_46E3_42CB_9C76_32121A57B65A_.wvu.PrintArea" localSheetId="144" hidden="1">'35.5- Cap Fund Imprv Auth'!$A$1:$L$29</definedName>
    <definedName name="Z_AC653BD0_46E3_42CB_9C76_32121A57B65A_.wvu.PrintArea" localSheetId="145" hidden="1">'35.6- Cap Fund Imprv Auth'!$A$1:$L$29</definedName>
    <definedName name="Z_AC653BD0_46E3_42CB_9C76_32121A57B65A_.wvu.PrintArea" localSheetId="146" hidden="1">'35.7- Cap Fund Imprv Auth'!$A$1:$L$29</definedName>
    <definedName name="Z_AC653BD0_46E3_42CB_9C76_32121A57B65A_.wvu.PrintArea" localSheetId="147" hidden="1">'35.8- Cap Fund Imprv Auth'!$A$1:$L$29</definedName>
    <definedName name="Z_AC653BD0_46E3_42CB_9C76_32121A57B65A_.wvu.PrintArea" localSheetId="148" hidden="1">'35.9- Cap Fund Imprv Auth'!$A$1:$L$29</definedName>
    <definedName name="Z_AC653BD0_46E3_42CB_9C76_32121A57B65A_.wvu.PrintArea" localSheetId="150" hidden="1">'36- Capital Improvement Fund'!$A$1:$J$54</definedName>
    <definedName name="Z_AC653BD0_46E3_42CB_9C76_32121A57B65A_.wvu.PrintArea" localSheetId="151" hidden="1">'37- Cap Fund Down Pymts'!$A$1:$J$54</definedName>
    <definedName name="Z_AC653BD0_46E3_42CB_9C76_32121A57B65A_.wvu.PrintArea" localSheetId="152" hidden="1">'38- Capital Surplus'!$A$1:$J$62</definedName>
    <definedName name="Z_AC653BD0_46E3_42CB_9C76_32121A57B65A_.wvu.PrintArea" localSheetId="153" hidden="1">'39- Req. Information'!$A$1:$Q$66</definedName>
    <definedName name="Z_AC653BD0_46E3_42CB_9C76_32121A57B65A_.wvu.PrintArea" localSheetId="11" hidden="1">'3a.1-Trial Bal-Current Fund'!$A$1:$I$48</definedName>
    <definedName name="Z_AC653BD0_46E3_42CB_9C76_32121A57B65A_.wvu.PrintArea" localSheetId="10" hidden="1">'3a-Trial Bal-Current Fund'!$A$1:$I$48</definedName>
    <definedName name="Z_AC653BD0_46E3_42CB_9C76_32121A57B65A_.wvu.PrintArea" localSheetId="9" hidden="1">'3-Trial Bal-Current Fund'!$A$1:$H$48</definedName>
    <definedName name="Z_AC653BD0_46E3_42CB_9C76_32121A57B65A_.wvu.PrintArea" localSheetId="154" hidden="1">'40'!$A$1:$K$68</definedName>
    <definedName name="Z_AC653BD0_46E3_42CB_9C76_32121A57B65A_.wvu.PrintArea" localSheetId="157" hidden="1">'41a.1-Utility1'!$A$1:$H$50</definedName>
    <definedName name="Z_AC653BD0_46E3_42CB_9C76_32121A57B65A_.wvu.PrintArea" localSheetId="180" hidden="1">'41a.1-Utility2'!$A$1:$H$50</definedName>
    <definedName name="Z_AC653BD0_46E3_42CB_9C76_32121A57B65A_.wvu.PrintArea" localSheetId="203" hidden="1">'41a.1-Utility3'!$A$1:$H$50</definedName>
    <definedName name="Z_AC653BD0_46E3_42CB_9C76_32121A57B65A_.wvu.PrintArea" localSheetId="226" hidden="1">'41a.1-Utility4'!$A$1:$H$50</definedName>
    <definedName name="Z_AC653BD0_46E3_42CB_9C76_32121A57B65A_.wvu.PrintArea" localSheetId="249" hidden="1">'41a.1-Utility5'!$A$1:$H$50</definedName>
    <definedName name="Z_AC653BD0_46E3_42CB_9C76_32121A57B65A_.wvu.PrintArea" localSheetId="272" hidden="1">'41a.1-Utility6'!$A$1:$H$50</definedName>
    <definedName name="Z_AC653BD0_46E3_42CB_9C76_32121A57B65A_.wvu.PrintArea" localSheetId="156" hidden="1">'41a-Utility1'!$A$1:$H$50</definedName>
    <definedName name="Z_AC653BD0_46E3_42CB_9C76_32121A57B65A_.wvu.PrintArea" localSheetId="179" hidden="1">'41a-Utility2'!$A$1:$H$50</definedName>
    <definedName name="Z_AC653BD0_46E3_42CB_9C76_32121A57B65A_.wvu.PrintArea" localSheetId="202" hidden="1">'41a-Utility3'!$A$1:$H$50</definedName>
    <definedName name="Z_AC653BD0_46E3_42CB_9C76_32121A57B65A_.wvu.PrintArea" localSheetId="225" hidden="1">'41a-Utility4'!$A$1:$H$50</definedName>
    <definedName name="Z_AC653BD0_46E3_42CB_9C76_32121A57B65A_.wvu.PrintArea" localSheetId="248" hidden="1">'41a-Utility5'!$A$1:$H$50</definedName>
    <definedName name="Z_AC653BD0_46E3_42CB_9C76_32121A57B65A_.wvu.PrintArea" localSheetId="271" hidden="1">'41a-Utility6'!$A$1:$H$50</definedName>
    <definedName name="Z_AC653BD0_46E3_42CB_9C76_32121A57B65A_.wvu.PrintArea" localSheetId="155" hidden="1">'41-Utility1 '!$A$1:$I$50</definedName>
    <definedName name="Z_AC653BD0_46E3_42CB_9C76_32121A57B65A_.wvu.PrintArea" localSheetId="178" hidden="1">'41-Utility2'!$A$1:$I$50</definedName>
    <definedName name="Z_AC653BD0_46E3_42CB_9C76_32121A57B65A_.wvu.PrintArea" localSheetId="201" hidden="1">'41-Utility3'!$A$1:$I$50</definedName>
    <definedName name="Z_AC653BD0_46E3_42CB_9C76_32121A57B65A_.wvu.PrintArea" localSheetId="224" hidden="1">'41-Utility4'!$A$1:$I$50</definedName>
    <definedName name="Z_AC653BD0_46E3_42CB_9C76_32121A57B65A_.wvu.PrintArea" localSheetId="247" hidden="1">'41-Utility5'!$A$1:$I$50</definedName>
    <definedName name="Z_AC653BD0_46E3_42CB_9C76_32121A57B65A_.wvu.PrintArea" localSheetId="270" hidden="1">'41-Utility6'!$A$1:$I$50</definedName>
    <definedName name="Z_AC653BD0_46E3_42CB_9C76_32121A57B65A_.wvu.PrintArea" localSheetId="158" hidden="1">'42-Utility1'!$A$1:$H$49</definedName>
    <definedName name="Z_AC653BD0_46E3_42CB_9C76_32121A57B65A_.wvu.PrintArea" localSheetId="181" hidden="1">'42-Utility2'!$A$1:$H$49</definedName>
    <definedName name="Z_AC653BD0_46E3_42CB_9C76_32121A57B65A_.wvu.PrintArea" localSheetId="204" hidden="1">'42-Utility3'!$A$1:$H$49</definedName>
    <definedName name="Z_AC653BD0_46E3_42CB_9C76_32121A57B65A_.wvu.PrintArea" localSheetId="227" hidden="1">'42-Utility4'!$A$1:$H$49</definedName>
    <definedName name="Z_AC653BD0_46E3_42CB_9C76_32121A57B65A_.wvu.PrintArea" localSheetId="250" hidden="1">'42-Utility5'!$A$1:$H$49</definedName>
    <definedName name="Z_AC653BD0_46E3_42CB_9C76_32121A57B65A_.wvu.PrintArea" localSheetId="273" hidden="1">'42-Utility6'!$A$1:$H$49</definedName>
    <definedName name="Z_AC653BD0_46E3_42CB_9C76_32121A57B65A_.wvu.PrintArea" localSheetId="159" hidden="1">'43-Utility1'!$A$1:$L$27</definedName>
    <definedName name="Z_AC653BD0_46E3_42CB_9C76_32121A57B65A_.wvu.PrintArea" localSheetId="182" hidden="1">'43-Utility2'!$A$1:$L$27</definedName>
    <definedName name="Z_AC653BD0_46E3_42CB_9C76_32121A57B65A_.wvu.PrintArea" localSheetId="205" hidden="1">'43-Utility3'!$A$1:$L$27</definedName>
    <definedName name="Z_AC653BD0_46E3_42CB_9C76_32121A57B65A_.wvu.PrintArea" localSheetId="228" hidden="1">'43-Utility4'!$A$1:$L$27</definedName>
    <definedName name="Z_AC653BD0_46E3_42CB_9C76_32121A57B65A_.wvu.PrintArea" localSheetId="251" hidden="1">'43-Utility5'!$A$1:$L$27</definedName>
    <definedName name="Z_AC653BD0_46E3_42CB_9C76_32121A57B65A_.wvu.PrintArea" localSheetId="274" hidden="1">'43-Utility6'!$A$1:$L$27</definedName>
    <definedName name="Z_AC653BD0_46E3_42CB_9C76_32121A57B65A_.wvu.PrintArea" localSheetId="160" hidden="1">'44-Utility1'!$A$1:$J$55</definedName>
    <definedName name="Z_AC653BD0_46E3_42CB_9C76_32121A57B65A_.wvu.PrintArea" localSheetId="183" hidden="1">'44-Utility2'!$A$1:$J$55</definedName>
    <definedName name="Z_AC653BD0_46E3_42CB_9C76_32121A57B65A_.wvu.PrintArea" localSheetId="206" hidden="1">'44-Utility3'!$A$1:$J$55</definedName>
    <definedName name="Z_AC653BD0_46E3_42CB_9C76_32121A57B65A_.wvu.PrintArea" localSheetId="229" hidden="1">'44-Utility4'!$A$1:$J$55</definedName>
    <definedName name="Z_AC653BD0_46E3_42CB_9C76_32121A57B65A_.wvu.PrintArea" localSheetId="252" hidden="1">'44-Utility5'!$A$1:$J$55</definedName>
    <definedName name="Z_AC653BD0_46E3_42CB_9C76_32121A57B65A_.wvu.PrintArea" localSheetId="275" hidden="1">'44-Utility6'!$A$1:$J$55</definedName>
    <definedName name="Z_AC653BD0_46E3_42CB_9C76_32121A57B65A_.wvu.PrintArea" localSheetId="161" hidden="1">'45-Utility1'!$A$1:$K$57</definedName>
    <definedName name="Z_AC653BD0_46E3_42CB_9C76_32121A57B65A_.wvu.PrintArea" localSheetId="184" hidden="1">'45-Utility2'!$A$1:$K$57</definedName>
    <definedName name="Z_AC653BD0_46E3_42CB_9C76_32121A57B65A_.wvu.PrintArea" localSheetId="207" hidden="1">'45-Utility3'!$A$1:$K$57</definedName>
    <definedName name="Z_AC653BD0_46E3_42CB_9C76_32121A57B65A_.wvu.PrintArea" localSheetId="230" hidden="1">'45-Utility4'!$A$1:$K$57</definedName>
    <definedName name="Z_AC653BD0_46E3_42CB_9C76_32121A57B65A_.wvu.PrintArea" localSheetId="253" hidden="1">'45-Utility5'!$A$1:$K$57</definedName>
    <definedName name="Z_AC653BD0_46E3_42CB_9C76_32121A57B65A_.wvu.PrintArea" localSheetId="276" hidden="1">'45-Utility6'!$A$1:$K$57</definedName>
    <definedName name="Z_AC653BD0_46E3_42CB_9C76_32121A57B65A_.wvu.PrintArea" localSheetId="162" hidden="1">'46-Utility1'!$A$1:$L$52</definedName>
    <definedName name="Z_AC653BD0_46E3_42CB_9C76_32121A57B65A_.wvu.PrintArea" localSheetId="185" hidden="1">'46-Utility2 '!$A$1:$L$52</definedName>
    <definedName name="Z_AC653BD0_46E3_42CB_9C76_32121A57B65A_.wvu.PrintArea" localSheetId="208" hidden="1">'46-Utility3'!$A$1:$L$52</definedName>
    <definedName name="Z_AC653BD0_46E3_42CB_9C76_32121A57B65A_.wvu.PrintArea" localSheetId="231" hidden="1">'46-Utility4'!$A$1:$L$52</definedName>
    <definedName name="Z_AC653BD0_46E3_42CB_9C76_32121A57B65A_.wvu.PrintArea" localSheetId="254" hidden="1">'46-Utility5'!$A$1:$L$52</definedName>
    <definedName name="Z_AC653BD0_46E3_42CB_9C76_32121A57B65A_.wvu.PrintArea" localSheetId="277" hidden="1">'46-Utility6'!$A$1:$L$52</definedName>
    <definedName name="Z_AC653BD0_46E3_42CB_9C76_32121A57B65A_.wvu.PrintArea" localSheetId="163" hidden="1">'47-Utility1'!$A$1:$L$69</definedName>
    <definedName name="Z_AC653BD0_46E3_42CB_9C76_32121A57B65A_.wvu.PrintArea" localSheetId="186" hidden="1">'47-Utility2'!$A$1:$L$69</definedName>
    <definedName name="Z_AC653BD0_46E3_42CB_9C76_32121A57B65A_.wvu.PrintArea" localSheetId="209" hidden="1">'47-Utility3'!$A$1:$L$69</definedName>
    <definedName name="Z_AC653BD0_46E3_42CB_9C76_32121A57B65A_.wvu.PrintArea" localSheetId="232" hidden="1">'47-Utility4'!$A$1:$L$69</definedName>
    <definedName name="Z_AC653BD0_46E3_42CB_9C76_32121A57B65A_.wvu.PrintArea" localSheetId="255" hidden="1">'47-Utility5'!$A$1:$L$69</definedName>
    <definedName name="Z_AC653BD0_46E3_42CB_9C76_32121A57B65A_.wvu.PrintArea" localSheetId="278" hidden="1">'47-Utility6'!$A$1:$L$69</definedName>
    <definedName name="Z_AC653BD0_46E3_42CB_9C76_32121A57B65A_.wvu.PrintArea" localSheetId="164" hidden="1">'48-Utility1'!$A$1:$N$61</definedName>
    <definedName name="Z_AC653BD0_46E3_42CB_9C76_32121A57B65A_.wvu.PrintArea" localSheetId="187" hidden="1">'48-Utility2'!$A$1:$N$61</definedName>
    <definedName name="Z_AC653BD0_46E3_42CB_9C76_32121A57B65A_.wvu.PrintArea" localSheetId="210" hidden="1">'48-Utility3'!$A$1:$N$61</definedName>
    <definedName name="Z_AC653BD0_46E3_42CB_9C76_32121A57B65A_.wvu.PrintArea" localSheetId="233" hidden="1">'48-Utility4'!$A$1:$N$61</definedName>
    <definedName name="Z_AC653BD0_46E3_42CB_9C76_32121A57B65A_.wvu.PrintArea" localSheetId="256" hidden="1">'48-Utility5'!$A$1:$N$61</definedName>
    <definedName name="Z_AC653BD0_46E3_42CB_9C76_32121A57B65A_.wvu.PrintArea" localSheetId="279" hidden="1">'48-Utility6'!$A$1:$N$61</definedName>
    <definedName name="Z_AC653BD0_46E3_42CB_9C76_32121A57B65A_.wvu.PrintArea" localSheetId="167" hidden="1">'49a.1-Utility1'!$A$1:$L$51</definedName>
    <definedName name="Z_AC653BD0_46E3_42CB_9C76_32121A57B65A_.wvu.PrintArea" localSheetId="190" hidden="1">'49a.1-Utility2 '!$A$1:$L$51</definedName>
    <definedName name="Z_AC653BD0_46E3_42CB_9C76_32121A57B65A_.wvu.PrintArea" localSheetId="213" hidden="1">'49a.1-Utility3'!$A$1:$L$51</definedName>
    <definedName name="Z_AC653BD0_46E3_42CB_9C76_32121A57B65A_.wvu.PrintArea" localSheetId="236" hidden="1">'49a.1-Utility4'!$A$1:$L$51</definedName>
    <definedName name="Z_AC653BD0_46E3_42CB_9C76_32121A57B65A_.wvu.PrintArea" localSheetId="259" hidden="1">'49a.1-Utility5'!$A$1:$L$51</definedName>
    <definedName name="Z_AC653BD0_46E3_42CB_9C76_32121A57B65A_.wvu.PrintArea" localSheetId="282" hidden="1">'49a.1-Utility6'!$A$1:$L$51</definedName>
    <definedName name="Z_AC653BD0_46E3_42CB_9C76_32121A57B65A_.wvu.PrintArea" localSheetId="166" hidden="1">'49a-Utility1'!$A$1:$L$51</definedName>
    <definedName name="Z_AC653BD0_46E3_42CB_9C76_32121A57B65A_.wvu.PrintArea" localSheetId="189" hidden="1">'49a-Utility2'!$A$1:$L$51</definedName>
    <definedName name="Z_AC653BD0_46E3_42CB_9C76_32121A57B65A_.wvu.PrintArea" localSheetId="212" hidden="1">'49a-Utility3'!$A$1:$L$51</definedName>
    <definedName name="Z_AC653BD0_46E3_42CB_9C76_32121A57B65A_.wvu.PrintArea" localSheetId="235" hidden="1">'49a-Utility4'!$A$1:$L$51</definedName>
    <definedName name="Z_AC653BD0_46E3_42CB_9C76_32121A57B65A_.wvu.PrintArea" localSheetId="258" hidden="1">'49a-Utility5'!$A$1:$L$51</definedName>
    <definedName name="Z_AC653BD0_46E3_42CB_9C76_32121A57B65A_.wvu.PrintArea" localSheetId="281" hidden="1">'49a-Utility6'!$A$1:$L$51</definedName>
    <definedName name="Z_AC653BD0_46E3_42CB_9C76_32121A57B65A_.wvu.PrintArea" localSheetId="165" hidden="1">'49-Utility1'!$A$1:$L$50</definedName>
    <definedName name="Z_AC653BD0_46E3_42CB_9C76_32121A57B65A_.wvu.PrintArea" localSheetId="188" hidden="1">'49-Utility2'!$A$1:$L$50</definedName>
    <definedName name="Z_AC653BD0_46E3_42CB_9C76_32121A57B65A_.wvu.PrintArea" localSheetId="211" hidden="1">'49-Utility3'!$A$1:$L$50</definedName>
    <definedName name="Z_AC653BD0_46E3_42CB_9C76_32121A57B65A_.wvu.PrintArea" localSheetId="234" hidden="1">'49-Utility4'!$A$1:$L$50</definedName>
    <definedName name="Z_AC653BD0_46E3_42CB_9C76_32121A57B65A_.wvu.PrintArea" localSheetId="257" hidden="1">'49-Utility5'!$A$1:$L$50</definedName>
    <definedName name="Z_AC653BD0_46E3_42CB_9C76_32121A57B65A_.wvu.PrintArea" localSheetId="280" hidden="1">'49-Utility6'!$A$1:$L$50</definedName>
    <definedName name="Z_AC653BD0_46E3_42CB_9C76_32121A57B65A_.wvu.PrintArea" localSheetId="12" hidden="1">'4-Trial Bal-Pub Assist Fnd'!$A$1:$H$46</definedName>
    <definedName name="Z_AC653BD0_46E3_42CB_9C76_32121A57B65A_.wvu.PrintArea" localSheetId="168" hidden="1">'50-Utility1'!$A$1:$M$30</definedName>
    <definedName name="Z_AC653BD0_46E3_42CB_9C76_32121A57B65A_.wvu.PrintArea" localSheetId="191" hidden="1">'50-Utility2'!$A$1:$M$30</definedName>
    <definedName name="Z_AC653BD0_46E3_42CB_9C76_32121A57B65A_.wvu.PrintArea" localSheetId="214" hidden="1">'50-Utility3'!$A$1:$M$30</definedName>
    <definedName name="Z_AC653BD0_46E3_42CB_9C76_32121A57B65A_.wvu.PrintArea" localSheetId="237" hidden="1">'50-Utility4'!$A$1:$M$30</definedName>
    <definedName name="Z_AC653BD0_46E3_42CB_9C76_32121A57B65A_.wvu.PrintArea" localSheetId="260" hidden="1">'50-Utility5'!$A$1:$M$30</definedName>
    <definedName name="Z_AC653BD0_46E3_42CB_9C76_32121A57B65A_.wvu.PrintArea" localSheetId="283" hidden="1">'50-Utility6'!$A$1:$M$30</definedName>
    <definedName name="Z_AC653BD0_46E3_42CB_9C76_32121A57B65A_.wvu.PrintArea" localSheetId="170" hidden="1">'51a-Utility1'!$A$1:$I$27</definedName>
    <definedName name="Z_AC653BD0_46E3_42CB_9C76_32121A57B65A_.wvu.PrintArea" localSheetId="193" hidden="1">'51a-Utility2'!$A$1:$I$27</definedName>
    <definedName name="Z_AC653BD0_46E3_42CB_9C76_32121A57B65A_.wvu.PrintArea" localSheetId="216" hidden="1">'51a-Utility3'!$A$1:$I$27</definedName>
    <definedName name="Z_AC653BD0_46E3_42CB_9C76_32121A57B65A_.wvu.PrintArea" localSheetId="239" hidden="1">'51a-Utility4'!$A$1:$I$27</definedName>
    <definedName name="Z_AC653BD0_46E3_42CB_9C76_32121A57B65A_.wvu.PrintArea" localSheetId="262" hidden="1">'51a-Utility5'!$A$1:$I$27</definedName>
    <definedName name="Z_AC653BD0_46E3_42CB_9C76_32121A57B65A_.wvu.PrintArea" localSheetId="285" hidden="1">'51a-Utility6'!$A$1:$I$27</definedName>
    <definedName name="Z_AC653BD0_46E3_42CB_9C76_32121A57B65A_.wvu.PrintArea" localSheetId="169" hidden="1">'51-Utility1'!$A$1:$L$29</definedName>
    <definedName name="Z_AC653BD0_46E3_42CB_9C76_32121A57B65A_.wvu.PrintArea" localSheetId="192" hidden="1">'51-Utility2'!$A$1:$L$29</definedName>
    <definedName name="Z_AC653BD0_46E3_42CB_9C76_32121A57B65A_.wvu.PrintArea" localSheetId="215" hidden="1">'51-Utility3'!$A$1:$L$29</definedName>
    <definedName name="Z_AC653BD0_46E3_42CB_9C76_32121A57B65A_.wvu.PrintArea" localSheetId="238" hidden="1">'51-Utility4'!$A$1:$L$29</definedName>
    <definedName name="Z_AC653BD0_46E3_42CB_9C76_32121A57B65A_.wvu.PrintArea" localSheetId="261" hidden="1">'51-Utility5'!$A$1:$L$29</definedName>
    <definedName name="Z_AC653BD0_46E3_42CB_9C76_32121A57B65A_.wvu.PrintArea" localSheetId="284" hidden="1">'51-Utility6'!$A$1:$L$29</definedName>
    <definedName name="Z_AC653BD0_46E3_42CB_9C76_32121A57B65A_.wvu.PrintArea" localSheetId="172" hidden="1">'52.1-Utility1'!$A$1:$L$28</definedName>
    <definedName name="Z_AC653BD0_46E3_42CB_9C76_32121A57B65A_.wvu.PrintArea" localSheetId="195" hidden="1">'52.1-Utility2'!$A$1:$L$28</definedName>
    <definedName name="Z_AC653BD0_46E3_42CB_9C76_32121A57B65A_.wvu.PrintArea" localSheetId="218" hidden="1">'52.1-Utility3'!$A$1:$L$28</definedName>
    <definedName name="Z_AC653BD0_46E3_42CB_9C76_32121A57B65A_.wvu.PrintArea" localSheetId="241" hidden="1">'52.1-Utility4'!$A$1:$L$28</definedName>
    <definedName name="Z_AC653BD0_46E3_42CB_9C76_32121A57B65A_.wvu.PrintArea" localSheetId="264" hidden="1">'52.1-Utility5'!$A$1:$L$28</definedName>
    <definedName name="Z_AC653BD0_46E3_42CB_9C76_32121A57B65A_.wvu.PrintArea" localSheetId="287" hidden="1">'52.1-Utility6'!$A$1:$L$28</definedName>
    <definedName name="Z_AC653BD0_46E3_42CB_9C76_32121A57B65A_.wvu.PrintArea" localSheetId="173" hidden="1">'52.2-Utility1'!$A$1:$L$28</definedName>
    <definedName name="Z_AC653BD0_46E3_42CB_9C76_32121A57B65A_.wvu.PrintArea" localSheetId="196" hidden="1">'52.2-Utility2'!$A$1:$L$28</definedName>
    <definedName name="Z_AC653BD0_46E3_42CB_9C76_32121A57B65A_.wvu.PrintArea" localSheetId="219" hidden="1">'52.2-Utility3'!$A$1:$L$28</definedName>
    <definedName name="Z_AC653BD0_46E3_42CB_9C76_32121A57B65A_.wvu.PrintArea" localSheetId="242" hidden="1">'52.2-Utility4'!$A$1:$L$28</definedName>
    <definedName name="Z_AC653BD0_46E3_42CB_9C76_32121A57B65A_.wvu.PrintArea" localSheetId="265" hidden="1">'52.2-Utility5'!$A$1:$L$28</definedName>
    <definedName name="Z_AC653BD0_46E3_42CB_9C76_32121A57B65A_.wvu.PrintArea" localSheetId="288" hidden="1">'52.2-Utility6'!$A$1:$L$28</definedName>
    <definedName name="Z_AC653BD0_46E3_42CB_9C76_32121A57B65A_.wvu.PrintArea" localSheetId="174" hidden="1">'52.3-Utility1'!$A$1:$L$28</definedName>
    <definedName name="Z_AC653BD0_46E3_42CB_9C76_32121A57B65A_.wvu.PrintArea" localSheetId="197" hidden="1">'52.3-Utility2'!$A$1:$L$28</definedName>
    <definedName name="Z_AC653BD0_46E3_42CB_9C76_32121A57B65A_.wvu.PrintArea" localSheetId="220" hidden="1">'52.3-Utility3'!$A$1:$L$28</definedName>
    <definedName name="Z_AC653BD0_46E3_42CB_9C76_32121A57B65A_.wvu.PrintArea" localSheetId="243" hidden="1">'52.3-Utility4'!$A$1:$L$28</definedName>
    <definedName name="Z_AC653BD0_46E3_42CB_9C76_32121A57B65A_.wvu.PrintArea" localSheetId="266" hidden="1">'52.3-Utility5'!$A$1:$L$28</definedName>
    <definedName name="Z_AC653BD0_46E3_42CB_9C76_32121A57B65A_.wvu.PrintArea" localSheetId="289" hidden="1">'52.3-Utility6'!$A$1:$L$28</definedName>
    <definedName name="Z_AC653BD0_46E3_42CB_9C76_32121A57B65A_.wvu.PrintArea" localSheetId="175" hidden="1">'52-Totals-Utility 1'!$A$1:$L$28</definedName>
    <definedName name="Z_AC653BD0_46E3_42CB_9C76_32121A57B65A_.wvu.PrintArea" localSheetId="198" hidden="1">'52-Totals-Utility2'!$A$1:$L$28</definedName>
    <definedName name="Z_AC653BD0_46E3_42CB_9C76_32121A57B65A_.wvu.PrintArea" localSheetId="221" hidden="1">'52-Totals-Utility3'!$A$1:$L$28</definedName>
    <definedName name="Z_AC653BD0_46E3_42CB_9C76_32121A57B65A_.wvu.PrintArea" localSheetId="244" hidden="1">'52-Totals-Utility4'!$A$1:$L$28</definedName>
    <definedName name="Z_AC653BD0_46E3_42CB_9C76_32121A57B65A_.wvu.PrintArea" localSheetId="267" hidden="1">'52-Totals-Utility5'!$A$1:$L$28</definedName>
    <definedName name="Z_AC653BD0_46E3_42CB_9C76_32121A57B65A_.wvu.PrintArea" localSheetId="290" hidden="1">'52-Totals-Utility6'!$A$1:$L$28</definedName>
    <definedName name="Z_AC653BD0_46E3_42CB_9C76_32121A57B65A_.wvu.PrintArea" localSheetId="286" hidden="1">'52-Utility 6'!$A$1:$L$28</definedName>
    <definedName name="Z_AC653BD0_46E3_42CB_9C76_32121A57B65A_.wvu.PrintArea" localSheetId="171" hidden="1">'52-Utility1'!$A$1:$L$28</definedName>
    <definedName name="Z_AC653BD0_46E3_42CB_9C76_32121A57B65A_.wvu.PrintArea" localSheetId="194" hidden="1">'52-Utility2'!$A$1:$L$28</definedName>
    <definedName name="Z_AC653BD0_46E3_42CB_9C76_32121A57B65A_.wvu.PrintArea" localSheetId="217" hidden="1">'52-Utility3'!$A$1:$L$28</definedName>
    <definedName name="Z_AC653BD0_46E3_42CB_9C76_32121A57B65A_.wvu.PrintArea" localSheetId="240" hidden="1">'52-Utility4'!$A$1:$L$28</definedName>
    <definedName name="Z_AC653BD0_46E3_42CB_9C76_32121A57B65A_.wvu.PrintArea" localSheetId="263" hidden="1">'52-Utility5'!$A$1:$L$28</definedName>
    <definedName name="Z_AC653BD0_46E3_42CB_9C76_32121A57B65A_.wvu.PrintArea" localSheetId="176" hidden="1">'53-Utility1'!$A$1:$J$54</definedName>
    <definedName name="Z_AC653BD0_46E3_42CB_9C76_32121A57B65A_.wvu.PrintArea" localSheetId="199" hidden="1">'53-Utility2'!$A$1:$J$54</definedName>
    <definedName name="Z_AC653BD0_46E3_42CB_9C76_32121A57B65A_.wvu.PrintArea" localSheetId="222" hidden="1">'53-Utility3'!$A$1:$J$54</definedName>
    <definedName name="Z_AC653BD0_46E3_42CB_9C76_32121A57B65A_.wvu.PrintArea" localSheetId="245" hidden="1">'53-Utility4'!$A$1:$J$54</definedName>
    <definedName name="Z_AC653BD0_46E3_42CB_9C76_32121A57B65A_.wvu.PrintArea" localSheetId="268" hidden="1">'53-Utility5'!$A$1:$J$54</definedName>
    <definedName name="Z_AC653BD0_46E3_42CB_9C76_32121A57B65A_.wvu.PrintArea" localSheetId="291" hidden="1">'53-Utility6'!$A$1:$J$54</definedName>
    <definedName name="Z_AC653BD0_46E3_42CB_9C76_32121A57B65A_.wvu.PrintArea" localSheetId="177" hidden="1">'54-Utility1'!$A$1:$J$52</definedName>
    <definedName name="Z_AC653BD0_46E3_42CB_9C76_32121A57B65A_.wvu.PrintArea" localSheetId="200" hidden="1">'54-Utility2'!$A$1:$J$52</definedName>
    <definedName name="Z_AC653BD0_46E3_42CB_9C76_32121A57B65A_.wvu.PrintArea" localSheetId="223" hidden="1">'54-Utility3'!$A$1:$J$52</definedName>
    <definedName name="Z_AC653BD0_46E3_42CB_9C76_32121A57B65A_.wvu.PrintArea" localSheetId="246" hidden="1">'54-Utility4'!$A$1:$J$52</definedName>
    <definedName name="Z_AC653BD0_46E3_42CB_9C76_32121A57B65A_.wvu.PrintArea" localSheetId="269" hidden="1">'54-Utility5'!$A$1:$J$52</definedName>
    <definedName name="Z_AC653BD0_46E3_42CB_9C76_32121A57B65A_.wvu.PrintArea" localSheetId="292" hidden="1">'54-Utility6'!$A$1:$J$52</definedName>
    <definedName name="Z_AC653BD0_46E3_42CB_9C76_32121A57B65A_.wvu.PrintArea" localSheetId="13" hidden="1">'5-Trial Bal-Grants'!$A$1:$H$48</definedName>
    <definedName name="Z_AC653BD0_46E3_42CB_9C76_32121A57B65A_.wvu.PrintArea" localSheetId="15" hidden="1">'6.1-Trial Bal-Trust Fnds'!$A$1:$H$48</definedName>
    <definedName name="Z_AC653BD0_46E3_42CB_9C76_32121A57B65A_.wvu.PrintArea" localSheetId="16" hidden="1">'6.2-Trial Bal-Trust Fnds'!$A$1:$H$48</definedName>
    <definedName name="Z_AC653BD0_46E3_42CB_9C76_32121A57B65A_.wvu.PrintArea" localSheetId="17" hidden="1">'6.3-Trial Bal-Trust Fnds'!$A$1:$H$48</definedName>
    <definedName name="Z_AC653BD0_46E3_42CB_9C76_32121A57B65A_.wvu.PrintArea" localSheetId="18" hidden="1">'6.4-Trial Bal-Trust Fnds'!$A$1:$H$48</definedName>
    <definedName name="Z_AC653BD0_46E3_42CB_9C76_32121A57B65A_.wvu.PrintArea" localSheetId="19" hidden="1">'6.TOTAL-Trial Bal-Trust Fnds'!$A$1:$H$48</definedName>
    <definedName name="Z_AC653BD0_46E3_42CB_9C76_32121A57B65A_.wvu.PrintArea" localSheetId="1" hidden="1">'69 - Instructions'!$A$1:$M$87</definedName>
    <definedName name="Z_AC653BD0_46E3_42CB_9C76_32121A57B65A_.wvu.PrintArea" localSheetId="21" hidden="1">'6b.1-Trust Fund Reserves'!$A$1:$M$50</definedName>
    <definedName name="Z_AC653BD0_46E3_42CB_9C76_32121A57B65A_.wvu.PrintArea" localSheetId="22" hidden="1">'6b.2-Trust Fund Reserves'!$A$1:$M$50</definedName>
    <definedName name="Z_AC653BD0_46E3_42CB_9C76_32121A57B65A_.wvu.PrintArea" localSheetId="23" hidden="1">'6b.3-Trust Fund Reserves'!$A$1:$M$50</definedName>
    <definedName name="Z_AC653BD0_46E3_42CB_9C76_32121A57B65A_.wvu.PrintArea" localSheetId="24" hidden="1">'6b-Total Trust Fund Reserves'!$A$1:$M$50</definedName>
    <definedName name="Z_AC653BD0_46E3_42CB_9C76_32121A57B65A_.wvu.PrintArea" localSheetId="20" hidden="1">'6b-Trust Fund Reserves'!$A$1:$M$50</definedName>
    <definedName name="Z_AC653BD0_46E3_42CB_9C76_32121A57B65A_.wvu.PrintArea" localSheetId="14" hidden="1">'6-Trial Bal-Trust Fnds'!$A$1:$H$47</definedName>
    <definedName name="Z_AC653BD0_46E3_42CB_9C76_32121A57B65A_.wvu.PrintArea" localSheetId="25" hidden="1">'7-Trust Asm Cash &amp; Investments'!$A$1:$L$27</definedName>
    <definedName name="Z_AC653BD0_46E3_42CB_9C76_32121A57B65A_.wvu.PrintArea" localSheetId="27" hidden="1">'8.1-Trial Bal-Gen Cap Fund'!$A$1:$H$48</definedName>
    <definedName name="Z_AC653BD0_46E3_42CB_9C76_32121A57B65A_.wvu.PrintArea" localSheetId="26" hidden="1">'8-Trial Bal-Gen Cap Fund'!$A$1:$H$48</definedName>
    <definedName name="Z_AC653BD0_46E3_42CB_9C76_32121A57B65A_.wvu.PrintArea" localSheetId="33" hidden="1">'9a TOTAL-Cash Reconciliation'!$A$1:$F$49</definedName>
    <definedName name="Z_AC653BD0_46E3_42CB_9C76_32121A57B65A_.wvu.PrintArea" localSheetId="30" hidden="1">'9a.1-Cash Reconciliation'!$A$1:$F$49</definedName>
    <definedName name="Z_AC653BD0_46E3_42CB_9C76_32121A57B65A_.wvu.PrintArea" localSheetId="31" hidden="1">'9a.2-Cash Reconciliation'!$A$1:$F$49</definedName>
    <definedName name="Z_AC653BD0_46E3_42CB_9C76_32121A57B65A_.wvu.PrintArea" localSheetId="32" hidden="1">'9a.3-Cash Reconciliation'!$A$1:$F$49</definedName>
    <definedName name="Z_AC653BD0_46E3_42CB_9C76_32121A57B65A_.wvu.PrintArea" localSheetId="29" hidden="1">'9a-Cash Reconciliation'!$A$1:$F$49</definedName>
    <definedName name="Z_AC653BD0_46E3_42CB_9C76_32121A57B65A_.wvu.PrintArea" localSheetId="28" hidden="1">'9-Cash Reconciliation'!$A$1:$I$52</definedName>
    <definedName name="Z_AC653BD0_46E3_42CB_9C76_32121A57B65A_.wvu.PrintArea" localSheetId="0" hidden="1">Instructions!$A$1:$B$238</definedName>
    <definedName name="Z_AC653BD0_46E3_42CB_9C76_32121A57B65A_.wvu.PrintArea" localSheetId="2" hidden="1">'KEY INPUTS'!$C$1:$E$60</definedName>
    <definedName name="Z_B165479B_DC25_403C_9595_F1A88A4AA9A2_.wvu.Cols" localSheetId="4" hidden="1">'1- Cover'!$R:$R,'1- Cover'!$Y:$Y</definedName>
    <definedName name="Z_B165479B_DC25_403C_9595_F1A88A4AA9A2_.wvu.Cols" localSheetId="5" hidden="1">'1a - RMA Certification'!$Q:$Q,'1a - RMA Certification'!$Y:$Y</definedName>
    <definedName name="Z_B165479B_DC25_403C_9595_F1A88A4AA9A2_.wvu.Cols" localSheetId="7" hidden="1">'1c - Fed &amp; State Finan Asst.'!$P:$P</definedName>
    <definedName name="Z_B165479B_DC25_403C_9595_F1A88A4AA9A2_.wvu.Cols" localSheetId="2" hidden="1">'KEY INPUTS'!$A:$B,'KEY INPUTS'!$Q:$AA</definedName>
    <definedName name="Z_B165479B_DC25_403C_9595_F1A88A4AA9A2_.wvu.FilterData" localSheetId="2" hidden="1">'KEY INPUTS'!$Z$6:$Z$571</definedName>
    <definedName name="Z_B165479B_DC25_403C_9595_F1A88A4AA9A2_.wvu.PrintArea" localSheetId="4" hidden="1">'1- Cover'!$A$1:$O$67</definedName>
    <definedName name="Z_B165479B_DC25_403C_9595_F1A88A4AA9A2_.wvu.PrintArea" localSheetId="59" hidden="1">'10 Totals Grants Receivable'!$A$1:$K$27</definedName>
    <definedName name="Z_B165479B_DC25_403C_9595_F1A88A4AA9A2_.wvu.PrintArea" localSheetId="44" hidden="1">'10.10-Grants Receivable'!$A$1:$K$27</definedName>
    <definedName name="Z_B165479B_DC25_403C_9595_F1A88A4AA9A2_.wvu.PrintArea" localSheetId="45" hidden="1">'10.11-Grants Receivable'!$A$1:$K$27</definedName>
    <definedName name="Z_B165479B_DC25_403C_9595_F1A88A4AA9A2_.wvu.PrintArea" localSheetId="46" hidden="1">'10.12-Grants Receivable'!$A$1:$K$27</definedName>
    <definedName name="Z_B165479B_DC25_403C_9595_F1A88A4AA9A2_.wvu.PrintArea" localSheetId="47" hidden="1">'10.13-Grants Receivable'!$A$1:$K$27</definedName>
    <definedName name="Z_B165479B_DC25_403C_9595_F1A88A4AA9A2_.wvu.PrintArea" localSheetId="48" hidden="1">'10.14-Grants Receivable'!$A$1:$K$27</definedName>
    <definedName name="Z_B165479B_DC25_403C_9595_F1A88A4AA9A2_.wvu.PrintArea" localSheetId="49" hidden="1">'10.15-Grants Receivable'!$A$1:$K$27</definedName>
    <definedName name="Z_B165479B_DC25_403C_9595_F1A88A4AA9A2_.wvu.PrintArea" localSheetId="50" hidden="1">'10.16-Grants Receivable'!$A$1:$K$27</definedName>
    <definedName name="Z_B165479B_DC25_403C_9595_F1A88A4AA9A2_.wvu.PrintArea" localSheetId="51" hidden="1">'10.17-Grants Receivable'!$A$1:$K$27</definedName>
    <definedName name="Z_B165479B_DC25_403C_9595_F1A88A4AA9A2_.wvu.PrintArea" localSheetId="52" hidden="1">'10.18-Grants Receivable'!$A$1:$K$27</definedName>
    <definedName name="Z_B165479B_DC25_403C_9595_F1A88A4AA9A2_.wvu.PrintArea" localSheetId="53" hidden="1">'10.19-Grants Receivable'!$A$1:$K$27</definedName>
    <definedName name="Z_B165479B_DC25_403C_9595_F1A88A4AA9A2_.wvu.PrintArea" localSheetId="35" hidden="1">'10.1-Grants Receivable'!$A$1:$K$27</definedName>
    <definedName name="Z_B165479B_DC25_403C_9595_F1A88A4AA9A2_.wvu.PrintArea" localSheetId="54" hidden="1">'10.20-Grants Receivable'!$A$1:$K$27</definedName>
    <definedName name="Z_B165479B_DC25_403C_9595_F1A88A4AA9A2_.wvu.PrintArea" localSheetId="55" hidden="1">'10.21-Grants Receivable'!$A$1:$K$27</definedName>
    <definedName name="Z_B165479B_DC25_403C_9595_F1A88A4AA9A2_.wvu.PrintArea" localSheetId="56" hidden="1">'10.22-Grants Receivable'!$A$1:$K$27</definedName>
    <definedName name="Z_B165479B_DC25_403C_9595_F1A88A4AA9A2_.wvu.PrintArea" localSheetId="57" hidden="1">'10.23-Grants Receivable'!$A$1:$K$27</definedName>
    <definedName name="Z_B165479B_DC25_403C_9595_F1A88A4AA9A2_.wvu.PrintArea" localSheetId="58" hidden="1">'10.24-Grants Receivable'!$A$1:$K$27</definedName>
    <definedName name="Z_B165479B_DC25_403C_9595_F1A88A4AA9A2_.wvu.PrintArea" localSheetId="36" hidden="1">'10.2-Grants Receivable'!$A$1:$K$27</definedName>
    <definedName name="Z_B165479B_DC25_403C_9595_F1A88A4AA9A2_.wvu.PrintArea" localSheetId="37" hidden="1">'10.3-Grants Receivable'!$A$1:$K$27</definedName>
    <definedName name="Z_B165479B_DC25_403C_9595_F1A88A4AA9A2_.wvu.PrintArea" localSheetId="38" hidden="1">'10.4-Grants Receivable'!$A$1:$K$27</definedName>
    <definedName name="Z_B165479B_DC25_403C_9595_F1A88A4AA9A2_.wvu.PrintArea" localSheetId="39" hidden="1">'10.5-Grants Receivable'!$A$1:$K$27</definedName>
    <definedName name="Z_B165479B_DC25_403C_9595_F1A88A4AA9A2_.wvu.PrintArea" localSheetId="40" hidden="1">'10.6-Grants Receivable'!$A$1:$K$27</definedName>
    <definedName name="Z_B165479B_DC25_403C_9595_F1A88A4AA9A2_.wvu.PrintArea" localSheetId="41" hidden="1">'10.7-Grants Receivable'!$A$1:$K$27</definedName>
    <definedName name="Z_B165479B_DC25_403C_9595_F1A88A4AA9A2_.wvu.PrintArea" localSheetId="42" hidden="1">'10.8-Grants Receivable'!$A$1:$K$27</definedName>
    <definedName name="Z_B165479B_DC25_403C_9595_F1A88A4AA9A2_.wvu.PrintArea" localSheetId="43" hidden="1">'10.9-Grants Receivable'!$A$1:$K$27</definedName>
    <definedName name="Z_B165479B_DC25_403C_9595_F1A88A4AA9A2_.wvu.PrintArea" localSheetId="34" hidden="1">'10-Grants Receivable'!$A$1:$K$27</definedName>
    <definedName name="Z_B165479B_DC25_403C_9595_F1A88A4AA9A2_.wvu.PrintArea" localSheetId="60" hidden="1">'11 Grants Approp Rsrv'!$A$1:$L$27</definedName>
    <definedName name="Z_B165479B_DC25_403C_9595_F1A88A4AA9A2_.wvu.PrintArea" localSheetId="100" hidden="1">'11- Totals Grants Approp Rsrv'!$A$1:$L$27</definedName>
    <definedName name="Z_B165479B_DC25_403C_9595_F1A88A4AA9A2_.wvu.PrintArea" localSheetId="61" hidden="1">'11.1 Grants Approp Rsrv'!$A$1:$L$27</definedName>
    <definedName name="Z_B165479B_DC25_403C_9595_F1A88A4AA9A2_.wvu.PrintArea" localSheetId="70" hidden="1">'11.10 Grants Approp Rsrv'!$A$1:$L$27</definedName>
    <definedName name="Z_B165479B_DC25_403C_9595_F1A88A4AA9A2_.wvu.PrintArea" localSheetId="71" hidden="1">'11.11 Grants Approp Rsrv'!$A$1:$L$27</definedName>
    <definedName name="Z_B165479B_DC25_403C_9595_F1A88A4AA9A2_.wvu.PrintArea" localSheetId="72" hidden="1">'11.12 Grants Approp Rsrv'!$A$1:$L$27</definedName>
    <definedName name="Z_B165479B_DC25_403C_9595_F1A88A4AA9A2_.wvu.PrintArea" localSheetId="73" hidden="1">'11.13 Grants Approp Rsrv'!$A$1:$L$27</definedName>
    <definedName name="Z_B165479B_DC25_403C_9595_F1A88A4AA9A2_.wvu.PrintArea" localSheetId="74" hidden="1">'11.14 Grants Approp Rsrv'!$A$1:$L$27</definedName>
    <definedName name="Z_B165479B_DC25_403C_9595_F1A88A4AA9A2_.wvu.PrintArea" localSheetId="75" hidden="1">'11.15 Grants Approp Rsrv'!$A$1:$L$27</definedName>
    <definedName name="Z_B165479B_DC25_403C_9595_F1A88A4AA9A2_.wvu.PrintArea" localSheetId="76" hidden="1">'11.16 Grants Approp Rsrv'!$A$1:$L$27</definedName>
    <definedName name="Z_B165479B_DC25_403C_9595_F1A88A4AA9A2_.wvu.PrintArea" localSheetId="77" hidden="1">'11.17 Grants Approp Rsrv'!$A$1:$L$27</definedName>
    <definedName name="Z_B165479B_DC25_403C_9595_F1A88A4AA9A2_.wvu.PrintArea" localSheetId="78" hidden="1">'11.18 Grants Approp Rsrv'!$A$1:$L$27</definedName>
    <definedName name="Z_B165479B_DC25_403C_9595_F1A88A4AA9A2_.wvu.PrintArea" localSheetId="79" hidden="1">'11.19 Grants Approp Rsrv'!$A$1:$L$27</definedName>
    <definedName name="Z_B165479B_DC25_403C_9595_F1A88A4AA9A2_.wvu.PrintArea" localSheetId="62" hidden="1">'11.2 Grants Approp Rsrv'!$A$1:$L$27</definedName>
    <definedName name="Z_B165479B_DC25_403C_9595_F1A88A4AA9A2_.wvu.PrintArea" localSheetId="80" hidden="1">'11.20 Grants Approp Rsrv'!$A$1:$L$27</definedName>
    <definedName name="Z_B165479B_DC25_403C_9595_F1A88A4AA9A2_.wvu.PrintArea" localSheetId="81" hidden="1">'11.21 Grants Approp Rsrv'!$A$1:$L$27</definedName>
    <definedName name="Z_B165479B_DC25_403C_9595_F1A88A4AA9A2_.wvu.PrintArea" localSheetId="82" hidden="1">'11.22 Grants Approp Rsrv'!$A$1:$L$27</definedName>
    <definedName name="Z_B165479B_DC25_403C_9595_F1A88A4AA9A2_.wvu.PrintArea" localSheetId="83" hidden="1">'11.23 Grants Approp Rsrv'!$A$1:$L$27</definedName>
    <definedName name="Z_B165479B_DC25_403C_9595_F1A88A4AA9A2_.wvu.PrintArea" localSheetId="84" hidden="1">'11.24 Grants Approp Rsrv'!$A$1:$L$27</definedName>
    <definedName name="Z_B165479B_DC25_403C_9595_F1A88A4AA9A2_.wvu.PrintArea" localSheetId="85" hidden="1">'11.25 Grants Approp Rsrv'!$A$1:$L$27</definedName>
    <definedName name="Z_B165479B_DC25_403C_9595_F1A88A4AA9A2_.wvu.PrintArea" localSheetId="86" hidden="1">'11.26 Grants Approp Rsrv'!$A$1:$L$27</definedName>
    <definedName name="Z_B165479B_DC25_403C_9595_F1A88A4AA9A2_.wvu.PrintArea" localSheetId="87" hidden="1">'11.27 Grants Approp Rsrv'!$A$1:$L$27</definedName>
    <definedName name="Z_B165479B_DC25_403C_9595_F1A88A4AA9A2_.wvu.PrintArea" localSheetId="88" hidden="1">'11.28 Grants Approp Rsrv'!$A$1:$L$27</definedName>
    <definedName name="Z_B165479B_DC25_403C_9595_F1A88A4AA9A2_.wvu.PrintArea" localSheetId="89" hidden="1">'11.29 Grants Approp Rsrv'!$A$1:$L$27</definedName>
    <definedName name="Z_B165479B_DC25_403C_9595_F1A88A4AA9A2_.wvu.PrintArea" localSheetId="63" hidden="1">'11.3 Grants Approp Rsrv'!$A$1:$L$27</definedName>
    <definedName name="Z_B165479B_DC25_403C_9595_F1A88A4AA9A2_.wvu.PrintArea" localSheetId="90" hidden="1">'11.30 Grants Approp Rsrv'!$A$1:$L$27</definedName>
    <definedName name="Z_B165479B_DC25_403C_9595_F1A88A4AA9A2_.wvu.PrintArea" localSheetId="91" hidden="1">'11.31 Grants Approp Rsrv'!$A$1:$L$27</definedName>
    <definedName name="Z_B165479B_DC25_403C_9595_F1A88A4AA9A2_.wvu.PrintArea" localSheetId="92" hidden="1">'11.32 Grants Approp Rsrv'!$A$1:$L$27</definedName>
    <definedName name="Z_B165479B_DC25_403C_9595_F1A88A4AA9A2_.wvu.PrintArea" localSheetId="93" hidden="1">'11.33 Grants Approp Rsrv'!$A$1:$L$27</definedName>
    <definedName name="Z_B165479B_DC25_403C_9595_F1A88A4AA9A2_.wvu.PrintArea" localSheetId="94" hidden="1">'11.34 Grants Approp Rsrv'!$A$1:$L$27</definedName>
    <definedName name="Z_B165479B_DC25_403C_9595_F1A88A4AA9A2_.wvu.PrintArea" localSheetId="95" hidden="1">'11.35 Grants Approp Rsrv'!$A$1:$L$27</definedName>
    <definedName name="Z_B165479B_DC25_403C_9595_F1A88A4AA9A2_.wvu.PrintArea" localSheetId="96" hidden="1">'11.36 Grants Approp Rsrv'!$A$1:$L$27</definedName>
    <definedName name="Z_B165479B_DC25_403C_9595_F1A88A4AA9A2_.wvu.PrintArea" localSheetId="97" hidden="1">'11.37 Grants Approp Rsrv'!$A$1:$L$27</definedName>
    <definedName name="Z_B165479B_DC25_403C_9595_F1A88A4AA9A2_.wvu.PrintArea" localSheetId="98" hidden="1">'11.38 Grants Approp Rsrv'!$A$1:$L$27</definedName>
    <definedName name="Z_B165479B_DC25_403C_9595_F1A88A4AA9A2_.wvu.PrintArea" localSheetId="99" hidden="1">'11.39 Grants Approp Rsrv'!$A$1:$L$27</definedName>
    <definedName name="Z_B165479B_DC25_403C_9595_F1A88A4AA9A2_.wvu.PrintArea" localSheetId="64" hidden="1">'11.4 Grants Approp Rsrv'!$A$1:$L$27</definedName>
    <definedName name="Z_B165479B_DC25_403C_9595_F1A88A4AA9A2_.wvu.PrintArea" localSheetId="65" hidden="1">'11.5 Grants Approp Rsrv'!$A$1:$L$27</definedName>
    <definedName name="Z_B165479B_DC25_403C_9595_F1A88A4AA9A2_.wvu.PrintArea" localSheetId="66" hidden="1">'11.6 Grants Approp Rsrv'!$A$1:$L$27</definedName>
    <definedName name="Z_B165479B_DC25_403C_9595_F1A88A4AA9A2_.wvu.PrintArea" localSheetId="67" hidden="1">'11.7 Grants Approp Rsrv'!$A$1:$L$27</definedName>
    <definedName name="Z_B165479B_DC25_403C_9595_F1A88A4AA9A2_.wvu.PrintArea" localSheetId="68" hidden="1">'11.8 Grants Approp Rsrv'!$A$1:$L$27</definedName>
    <definedName name="Z_B165479B_DC25_403C_9595_F1A88A4AA9A2_.wvu.PrintArea" localSheetId="69" hidden="1">'11.9 Grants Approp Rsrv'!$A$1:$L$27</definedName>
    <definedName name="Z_B165479B_DC25_403C_9595_F1A88A4AA9A2_.wvu.PrintArea" localSheetId="104" hidden="1">'12 Total-Grants Unappropriated'!$A$1:$K$27</definedName>
    <definedName name="Z_B165479B_DC25_403C_9595_F1A88A4AA9A2_.wvu.PrintArea" localSheetId="102" hidden="1">'12.1-Grants Unappropriated'!$A$1:$K$27</definedName>
    <definedName name="Z_B165479B_DC25_403C_9595_F1A88A4AA9A2_.wvu.PrintArea" localSheetId="103" hidden="1">'12.2-Grants Unappropriated'!$A$1:$K$27</definedName>
    <definedName name="Z_B165479B_DC25_403C_9595_F1A88A4AA9A2_.wvu.PrintArea" localSheetId="101" hidden="1">'12-Grants Unappropriated'!$A$1:$K$27</definedName>
    <definedName name="Z_B165479B_DC25_403C_9595_F1A88A4AA9A2_.wvu.PrintArea" localSheetId="105" hidden="1">'13-Other Taxes'!$A$1:$H$51</definedName>
    <definedName name="Z_B165479B_DC25_403C_9595_F1A88A4AA9A2_.wvu.PrintArea" localSheetId="106" hidden="1">'14-Other Taxes'!$A$1:$H$52</definedName>
    <definedName name="Z_B165479B_DC25_403C_9595_F1A88A4AA9A2_.wvu.PrintArea" localSheetId="107" hidden="1">'15-Other Taxes'!$A$1:$J$47</definedName>
    <definedName name="Z_B165479B_DC25_403C_9595_F1A88A4AA9A2_.wvu.PrintArea" localSheetId="113" hidden="1">'17a Totals-Budget Revenues'!$A$1:$J$49</definedName>
    <definedName name="Z_B165479B_DC25_403C_9595_F1A88A4AA9A2_.wvu.PrintArea" localSheetId="110" hidden="1">'17a.1-Budget Revenues '!$A$1:$J$49</definedName>
    <definedName name="Z_B165479B_DC25_403C_9595_F1A88A4AA9A2_.wvu.PrintArea" localSheetId="111" hidden="1">'17a.2-Budget Revenues'!$A$1:$J$49</definedName>
    <definedName name="Z_B165479B_DC25_403C_9595_F1A88A4AA9A2_.wvu.PrintArea" localSheetId="112" hidden="1">'17a.3-Budget Revenues'!$A$1:$J$49</definedName>
    <definedName name="Z_B165479B_DC25_403C_9595_F1A88A4AA9A2_.wvu.PrintArea" localSheetId="109" hidden="1">'17a-Budget Revenues'!$A$1:$J$49</definedName>
    <definedName name="Z_B165479B_DC25_403C_9595_F1A88A4AA9A2_.wvu.PrintArea" localSheetId="108" hidden="1">'17-Budget Revenues'!$A$1:$J$50</definedName>
    <definedName name="Z_B165479B_DC25_403C_9595_F1A88A4AA9A2_.wvu.PrintArea" localSheetId="114" hidden="1">'18-Budget Appropriations'!$A$1:$J$54</definedName>
    <definedName name="Z_B165479B_DC25_403C_9595_F1A88A4AA9A2_.wvu.PrintArea" localSheetId="115" hidden="1">'19-Results of Op-Cur Fnd'!$A$1:$I$48</definedName>
    <definedName name="Z_B165479B_DC25_403C_9595_F1A88A4AA9A2_.wvu.PrintArea" localSheetId="5" hidden="1">'1a - RMA Certification'!$A$1:$N$70</definedName>
    <definedName name="Z_B165479B_DC25_403C_9595_F1A88A4AA9A2_.wvu.PrintArea" localSheetId="6" hidden="1">'1b - Local Exam Qual Cert'!$A$1:$M$68</definedName>
    <definedName name="Z_B165479B_DC25_403C_9595_F1A88A4AA9A2_.wvu.PrintArea" localSheetId="7" hidden="1">'1c - Fed &amp; State Finan Asst.'!$A$1:$M$71</definedName>
    <definedName name="Z_B165479B_DC25_403C_9595_F1A88A4AA9A2_.wvu.PrintArea" localSheetId="8" hidden="1">'2 - No Utility Fund Cert'!$A$1:$M$59</definedName>
    <definedName name="Z_B165479B_DC25_403C_9595_F1A88A4AA9A2_.wvu.PrintArea" localSheetId="118" hidden="1">'20 Total-Misc Rev Not Ant'!$A$1:$H$47</definedName>
    <definedName name="Z_B165479B_DC25_403C_9595_F1A88A4AA9A2_.wvu.PrintArea" localSheetId="117" hidden="1">'20.1-Misc Rev Not Ant'!$A$1:$H$47</definedName>
    <definedName name="Z_B165479B_DC25_403C_9595_F1A88A4AA9A2_.wvu.PrintArea" localSheetId="116" hidden="1">'20-Misc Rev Not Ant'!$A$1:$H$47</definedName>
    <definedName name="Z_B165479B_DC25_403C_9595_F1A88A4AA9A2_.wvu.PrintArea" localSheetId="119" hidden="1">'21-Current Fund Surplus'!$A$1:$L$50</definedName>
    <definedName name="Z_B165479B_DC25_403C_9595_F1A88A4AA9A2_.wvu.PrintArea" localSheetId="120" hidden="1">'22-2019 Levy'!$A$1:$N$63</definedName>
    <definedName name="Z_B165479B_DC25_403C_9595_F1A88A4AA9A2_.wvu.PrintArea" localSheetId="121" hidden="1">'22a-Tax Levy Sale'!$A$1:$K$61</definedName>
    <definedName name="Z_B165479B_DC25_403C_9595_F1A88A4AA9A2_.wvu.PrintArea" localSheetId="122" hidden="1">'23-SCVet Deductions'!$A$1:$J$54</definedName>
    <definedName name="Z_B165479B_DC25_403C_9595_F1A88A4AA9A2_.wvu.PrintArea" localSheetId="123" hidden="1">'24-Reserves for Tax Appeals'!$A$1:$J$60</definedName>
    <definedName name="Z_B165479B_DC25_403C_9595_F1A88A4AA9A2_.wvu.PrintArea" localSheetId="124" hidden="1">'26-Delinquent Taxes and Liens'!$A$1:$M$49</definedName>
    <definedName name="Z_B165479B_DC25_403C_9595_F1A88A4AA9A2_.wvu.PrintArea" localSheetId="125" hidden="1">'27-Foreclosed Property'!$A$1:$L$50</definedName>
    <definedName name="Z_B165479B_DC25_403C_9595_F1A88A4AA9A2_.wvu.PrintArea" localSheetId="126" hidden="1">'28-Deferred Charges'!$A$1:$N$58</definedName>
    <definedName name="Z_B165479B_DC25_403C_9595_F1A88A4AA9A2_.wvu.PrintArea" localSheetId="127" hidden="1">'29-Special Emergency'!$A$1:$L$30</definedName>
    <definedName name="Z_B165479B_DC25_403C_9595_F1A88A4AA9A2_.wvu.PrintArea" localSheetId="128" hidden="1">'30-Special Emergency'!$A$1:$L$30</definedName>
    <definedName name="Z_B165479B_DC25_403C_9595_F1A88A4AA9A2_.wvu.PrintArea" localSheetId="131" hidden="1">'31A.1-Loan Schedule'!$A$1:$L$47</definedName>
    <definedName name="Z_B165479B_DC25_403C_9595_F1A88A4AA9A2_.wvu.PrintArea" localSheetId="132" hidden="1">'31A.2-Loan Schedule'!$A$1:$L$47</definedName>
    <definedName name="Z_B165479B_DC25_403C_9595_F1A88A4AA9A2_.wvu.PrintArea" localSheetId="130" hidden="1">'31A-Loan Schedule'!$A$1:$L$47</definedName>
    <definedName name="Z_B165479B_DC25_403C_9595_F1A88A4AA9A2_.wvu.PrintArea" localSheetId="129" hidden="1">'31-Capital Bond Schedule'!$A$1:$L$47</definedName>
    <definedName name="Z_B165479B_DC25_403C_9595_F1A88A4AA9A2_.wvu.PrintArea" localSheetId="133" hidden="1">'32-Bond Schedule'!$A$1:$L$48</definedName>
    <definedName name="Z_B165479B_DC25_403C_9595_F1A88A4AA9A2_.wvu.PrintArea" localSheetId="136" hidden="1">'33 Totals-Note Debt Service'!$A$1:$L$29</definedName>
    <definedName name="Z_B165479B_DC25_403C_9595_F1A88A4AA9A2_.wvu.PrintArea" localSheetId="135" hidden="1">'33.1-Note Debt Service'!$A$1:$L$29</definedName>
    <definedName name="Z_B165479B_DC25_403C_9595_F1A88A4AA9A2_.wvu.PrintArea" localSheetId="134" hidden="1">'33-Note Debt Service'!$A$1:$L$29</definedName>
    <definedName name="Z_B165479B_DC25_403C_9595_F1A88A4AA9A2_.wvu.PrintArea" localSheetId="138" hidden="1">'34a-Cap Lease Program Oblg'!$A$1:$I$27</definedName>
    <definedName name="Z_B165479B_DC25_403C_9595_F1A88A4AA9A2_.wvu.PrintArea" localSheetId="137" hidden="1">'34-Assmt Note Debt Service'!$A$1:$L$29</definedName>
    <definedName name="Z_B165479B_DC25_403C_9595_F1A88A4AA9A2_.wvu.PrintArea" localSheetId="139" hidden="1">'35- Cap Fund Imprv Auth'!$A$1:$L$29</definedName>
    <definedName name="Z_B165479B_DC25_403C_9595_F1A88A4AA9A2_.wvu.PrintArea" localSheetId="149" hidden="1">'35 Totals- Cap Fund Imprv Auth'!$A$1:$L$29</definedName>
    <definedName name="Z_B165479B_DC25_403C_9595_F1A88A4AA9A2_.wvu.PrintArea" localSheetId="140" hidden="1">'35.1- Cap Fund Imprv Auth '!$A$1:$L$29</definedName>
    <definedName name="Z_B165479B_DC25_403C_9595_F1A88A4AA9A2_.wvu.PrintArea" localSheetId="141" hidden="1">'35.2- Cap Fund Imprv Auth'!$A$1:$L$29</definedName>
    <definedName name="Z_B165479B_DC25_403C_9595_F1A88A4AA9A2_.wvu.PrintArea" localSheetId="142" hidden="1">'35.3- Cap Fund Imprv Auth'!$A$1:$L$29</definedName>
    <definedName name="Z_B165479B_DC25_403C_9595_F1A88A4AA9A2_.wvu.PrintArea" localSheetId="143" hidden="1">'35.4- Cap Fund Imprv Auth'!$A$1:$L$29</definedName>
    <definedName name="Z_B165479B_DC25_403C_9595_F1A88A4AA9A2_.wvu.PrintArea" localSheetId="144" hidden="1">'35.5- Cap Fund Imprv Auth'!$A$1:$L$29</definedName>
    <definedName name="Z_B165479B_DC25_403C_9595_F1A88A4AA9A2_.wvu.PrintArea" localSheetId="145" hidden="1">'35.6- Cap Fund Imprv Auth'!$A$1:$L$29</definedName>
    <definedName name="Z_B165479B_DC25_403C_9595_F1A88A4AA9A2_.wvu.PrintArea" localSheetId="146" hidden="1">'35.7- Cap Fund Imprv Auth'!$A$1:$L$29</definedName>
    <definedName name="Z_B165479B_DC25_403C_9595_F1A88A4AA9A2_.wvu.PrintArea" localSheetId="147" hidden="1">'35.8- Cap Fund Imprv Auth'!$A$1:$L$29</definedName>
    <definedName name="Z_B165479B_DC25_403C_9595_F1A88A4AA9A2_.wvu.PrintArea" localSheetId="148" hidden="1">'35.9- Cap Fund Imprv Auth'!$A$1:$L$29</definedName>
    <definedName name="Z_B165479B_DC25_403C_9595_F1A88A4AA9A2_.wvu.PrintArea" localSheetId="150" hidden="1">'36- Capital Improvement Fund'!$A$1:$J$54</definedName>
    <definedName name="Z_B165479B_DC25_403C_9595_F1A88A4AA9A2_.wvu.PrintArea" localSheetId="151" hidden="1">'37- Cap Fund Down Pymts'!$A$1:$J$54</definedName>
    <definedName name="Z_B165479B_DC25_403C_9595_F1A88A4AA9A2_.wvu.PrintArea" localSheetId="152" hidden="1">'38- Capital Surplus'!$A$1:$J$62</definedName>
    <definedName name="Z_B165479B_DC25_403C_9595_F1A88A4AA9A2_.wvu.PrintArea" localSheetId="153" hidden="1">'39- Req. Information'!$A$1:$Q$66</definedName>
    <definedName name="Z_B165479B_DC25_403C_9595_F1A88A4AA9A2_.wvu.PrintArea" localSheetId="11" hidden="1">'3a.1-Trial Bal-Current Fund'!$A$1:$I$48</definedName>
    <definedName name="Z_B165479B_DC25_403C_9595_F1A88A4AA9A2_.wvu.PrintArea" localSheetId="10" hidden="1">'3a-Trial Bal-Current Fund'!$A$1:$I$48</definedName>
    <definedName name="Z_B165479B_DC25_403C_9595_F1A88A4AA9A2_.wvu.PrintArea" localSheetId="9" hidden="1">'3-Trial Bal-Current Fund'!$A$1:$H$48</definedName>
    <definedName name="Z_B165479B_DC25_403C_9595_F1A88A4AA9A2_.wvu.PrintArea" localSheetId="154" hidden="1">'40'!$A$1:$K$68</definedName>
    <definedName name="Z_B165479B_DC25_403C_9595_F1A88A4AA9A2_.wvu.PrintArea" localSheetId="157" hidden="1">'41a.1-Utility1'!$A$1:$H$50</definedName>
    <definedName name="Z_B165479B_DC25_403C_9595_F1A88A4AA9A2_.wvu.PrintArea" localSheetId="180" hidden="1">'41a.1-Utility2'!$A$1:$H$50</definedName>
    <definedName name="Z_B165479B_DC25_403C_9595_F1A88A4AA9A2_.wvu.PrintArea" localSheetId="203" hidden="1">'41a.1-Utility3'!$A$1:$H$50</definedName>
    <definedName name="Z_B165479B_DC25_403C_9595_F1A88A4AA9A2_.wvu.PrintArea" localSheetId="226" hidden="1">'41a.1-Utility4'!$A$1:$H$50</definedName>
    <definedName name="Z_B165479B_DC25_403C_9595_F1A88A4AA9A2_.wvu.PrintArea" localSheetId="249" hidden="1">'41a.1-Utility5'!$A$1:$H$50</definedName>
    <definedName name="Z_B165479B_DC25_403C_9595_F1A88A4AA9A2_.wvu.PrintArea" localSheetId="272" hidden="1">'41a.1-Utility6'!$A$1:$H$50</definedName>
    <definedName name="Z_B165479B_DC25_403C_9595_F1A88A4AA9A2_.wvu.PrintArea" localSheetId="156" hidden="1">'41a-Utility1'!$A$1:$H$50</definedName>
    <definedName name="Z_B165479B_DC25_403C_9595_F1A88A4AA9A2_.wvu.PrintArea" localSheetId="179" hidden="1">'41a-Utility2'!$A$1:$H$50</definedName>
    <definedName name="Z_B165479B_DC25_403C_9595_F1A88A4AA9A2_.wvu.PrintArea" localSheetId="202" hidden="1">'41a-Utility3'!$A$1:$H$50</definedName>
    <definedName name="Z_B165479B_DC25_403C_9595_F1A88A4AA9A2_.wvu.PrintArea" localSheetId="225" hidden="1">'41a-Utility4'!$A$1:$H$50</definedName>
    <definedName name="Z_B165479B_DC25_403C_9595_F1A88A4AA9A2_.wvu.PrintArea" localSheetId="248" hidden="1">'41a-Utility5'!$A$1:$H$50</definedName>
    <definedName name="Z_B165479B_DC25_403C_9595_F1A88A4AA9A2_.wvu.PrintArea" localSheetId="271" hidden="1">'41a-Utility6'!$A$1:$H$50</definedName>
    <definedName name="Z_B165479B_DC25_403C_9595_F1A88A4AA9A2_.wvu.PrintArea" localSheetId="155" hidden="1">'41-Utility1 '!$A$1:$I$50</definedName>
    <definedName name="Z_B165479B_DC25_403C_9595_F1A88A4AA9A2_.wvu.PrintArea" localSheetId="178" hidden="1">'41-Utility2'!$A$1:$I$50</definedName>
    <definedName name="Z_B165479B_DC25_403C_9595_F1A88A4AA9A2_.wvu.PrintArea" localSheetId="201" hidden="1">'41-Utility3'!$A$1:$I$50</definedName>
    <definedName name="Z_B165479B_DC25_403C_9595_F1A88A4AA9A2_.wvu.PrintArea" localSheetId="224" hidden="1">'41-Utility4'!$A$1:$I$50</definedName>
    <definedName name="Z_B165479B_DC25_403C_9595_F1A88A4AA9A2_.wvu.PrintArea" localSheetId="247" hidden="1">'41-Utility5'!$A$1:$I$50</definedName>
    <definedName name="Z_B165479B_DC25_403C_9595_F1A88A4AA9A2_.wvu.PrintArea" localSheetId="270" hidden="1">'41-Utility6'!$A$1:$I$50</definedName>
    <definedName name="Z_B165479B_DC25_403C_9595_F1A88A4AA9A2_.wvu.PrintArea" localSheetId="158" hidden="1">'42-Utility1'!$A$1:$H$49</definedName>
    <definedName name="Z_B165479B_DC25_403C_9595_F1A88A4AA9A2_.wvu.PrintArea" localSheetId="181" hidden="1">'42-Utility2'!$A$1:$H$49</definedName>
    <definedName name="Z_B165479B_DC25_403C_9595_F1A88A4AA9A2_.wvu.PrintArea" localSheetId="204" hidden="1">'42-Utility3'!$A$1:$H$49</definedName>
    <definedName name="Z_B165479B_DC25_403C_9595_F1A88A4AA9A2_.wvu.PrintArea" localSheetId="227" hidden="1">'42-Utility4'!$A$1:$H$49</definedName>
    <definedName name="Z_B165479B_DC25_403C_9595_F1A88A4AA9A2_.wvu.PrintArea" localSheetId="250" hidden="1">'42-Utility5'!$A$1:$H$49</definedName>
    <definedName name="Z_B165479B_DC25_403C_9595_F1A88A4AA9A2_.wvu.PrintArea" localSheetId="273" hidden="1">'42-Utility6'!$A$1:$H$49</definedName>
    <definedName name="Z_B165479B_DC25_403C_9595_F1A88A4AA9A2_.wvu.PrintArea" localSheetId="159" hidden="1">'43-Utility1'!$A$1:$L$27</definedName>
    <definedName name="Z_B165479B_DC25_403C_9595_F1A88A4AA9A2_.wvu.PrintArea" localSheetId="182" hidden="1">'43-Utility2'!$A$1:$L$27</definedName>
    <definedName name="Z_B165479B_DC25_403C_9595_F1A88A4AA9A2_.wvu.PrintArea" localSheetId="205" hidden="1">'43-Utility3'!$A$1:$L$27</definedName>
    <definedName name="Z_B165479B_DC25_403C_9595_F1A88A4AA9A2_.wvu.PrintArea" localSheetId="228" hidden="1">'43-Utility4'!$A$1:$L$27</definedName>
    <definedName name="Z_B165479B_DC25_403C_9595_F1A88A4AA9A2_.wvu.PrintArea" localSheetId="251" hidden="1">'43-Utility5'!$A$1:$L$27</definedName>
    <definedName name="Z_B165479B_DC25_403C_9595_F1A88A4AA9A2_.wvu.PrintArea" localSheetId="274" hidden="1">'43-Utility6'!$A$1:$L$27</definedName>
    <definedName name="Z_B165479B_DC25_403C_9595_F1A88A4AA9A2_.wvu.PrintArea" localSheetId="160" hidden="1">'44-Utility1'!$A$1:$J$55</definedName>
    <definedName name="Z_B165479B_DC25_403C_9595_F1A88A4AA9A2_.wvu.PrintArea" localSheetId="183" hidden="1">'44-Utility2'!$A$1:$J$55</definedName>
    <definedName name="Z_B165479B_DC25_403C_9595_F1A88A4AA9A2_.wvu.PrintArea" localSheetId="206" hidden="1">'44-Utility3'!$A$1:$J$55</definedName>
    <definedName name="Z_B165479B_DC25_403C_9595_F1A88A4AA9A2_.wvu.PrintArea" localSheetId="229" hidden="1">'44-Utility4'!$A$1:$J$55</definedName>
    <definedName name="Z_B165479B_DC25_403C_9595_F1A88A4AA9A2_.wvu.PrintArea" localSheetId="252" hidden="1">'44-Utility5'!$A$1:$J$55</definedName>
    <definedName name="Z_B165479B_DC25_403C_9595_F1A88A4AA9A2_.wvu.PrintArea" localSheetId="275" hidden="1">'44-Utility6'!$A$1:$J$55</definedName>
    <definedName name="Z_B165479B_DC25_403C_9595_F1A88A4AA9A2_.wvu.PrintArea" localSheetId="161" hidden="1">'45-Utility1'!$A$1:$K$57</definedName>
    <definedName name="Z_B165479B_DC25_403C_9595_F1A88A4AA9A2_.wvu.PrintArea" localSheetId="184" hidden="1">'45-Utility2'!$A$1:$K$57</definedName>
    <definedName name="Z_B165479B_DC25_403C_9595_F1A88A4AA9A2_.wvu.PrintArea" localSheetId="207" hidden="1">'45-Utility3'!$A$1:$K$57</definedName>
    <definedName name="Z_B165479B_DC25_403C_9595_F1A88A4AA9A2_.wvu.PrintArea" localSheetId="230" hidden="1">'45-Utility4'!$A$1:$K$57</definedName>
    <definedName name="Z_B165479B_DC25_403C_9595_F1A88A4AA9A2_.wvu.PrintArea" localSheetId="253" hidden="1">'45-Utility5'!$A$1:$K$57</definedName>
    <definedName name="Z_B165479B_DC25_403C_9595_F1A88A4AA9A2_.wvu.PrintArea" localSheetId="276" hidden="1">'45-Utility6'!$A$1:$K$57</definedName>
    <definedName name="Z_B165479B_DC25_403C_9595_F1A88A4AA9A2_.wvu.PrintArea" localSheetId="162" hidden="1">'46-Utility1'!$A$1:$L$52</definedName>
    <definedName name="Z_B165479B_DC25_403C_9595_F1A88A4AA9A2_.wvu.PrintArea" localSheetId="185" hidden="1">'46-Utility2 '!$A$1:$L$52</definedName>
    <definedName name="Z_B165479B_DC25_403C_9595_F1A88A4AA9A2_.wvu.PrintArea" localSheetId="208" hidden="1">'46-Utility3'!$A$1:$L$52</definedName>
    <definedName name="Z_B165479B_DC25_403C_9595_F1A88A4AA9A2_.wvu.PrintArea" localSheetId="231" hidden="1">'46-Utility4'!$A$1:$L$52</definedName>
    <definedName name="Z_B165479B_DC25_403C_9595_F1A88A4AA9A2_.wvu.PrintArea" localSheetId="254" hidden="1">'46-Utility5'!$A$1:$L$52</definedName>
    <definedName name="Z_B165479B_DC25_403C_9595_F1A88A4AA9A2_.wvu.PrintArea" localSheetId="277" hidden="1">'46-Utility6'!$A$1:$L$52</definedName>
    <definedName name="Z_B165479B_DC25_403C_9595_F1A88A4AA9A2_.wvu.PrintArea" localSheetId="163" hidden="1">'47-Utility1'!$A$1:$L$69</definedName>
    <definedName name="Z_B165479B_DC25_403C_9595_F1A88A4AA9A2_.wvu.PrintArea" localSheetId="186" hidden="1">'47-Utility2'!$A$1:$L$69</definedName>
    <definedName name="Z_B165479B_DC25_403C_9595_F1A88A4AA9A2_.wvu.PrintArea" localSheetId="209" hidden="1">'47-Utility3'!$A$1:$L$69</definedName>
    <definedName name="Z_B165479B_DC25_403C_9595_F1A88A4AA9A2_.wvu.PrintArea" localSheetId="232" hidden="1">'47-Utility4'!$A$1:$L$69</definedName>
    <definedName name="Z_B165479B_DC25_403C_9595_F1A88A4AA9A2_.wvu.PrintArea" localSheetId="255" hidden="1">'47-Utility5'!$A$1:$L$69</definedName>
    <definedName name="Z_B165479B_DC25_403C_9595_F1A88A4AA9A2_.wvu.PrintArea" localSheetId="278" hidden="1">'47-Utility6'!$A$1:$L$69</definedName>
    <definedName name="Z_B165479B_DC25_403C_9595_F1A88A4AA9A2_.wvu.PrintArea" localSheetId="164" hidden="1">'48-Utility1'!$A$1:$N$61</definedName>
    <definedName name="Z_B165479B_DC25_403C_9595_F1A88A4AA9A2_.wvu.PrintArea" localSheetId="187" hidden="1">'48-Utility2'!$A$1:$N$61</definedName>
    <definedName name="Z_B165479B_DC25_403C_9595_F1A88A4AA9A2_.wvu.PrintArea" localSheetId="210" hidden="1">'48-Utility3'!$A$1:$N$61</definedName>
    <definedName name="Z_B165479B_DC25_403C_9595_F1A88A4AA9A2_.wvu.PrintArea" localSheetId="233" hidden="1">'48-Utility4'!$A$1:$N$61</definedName>
    <definedName name="Z_B165479B_DC25_403C_9595_F1A88A4AA9A2_.wvu.PrintArea" localSheetId="256" hidden="1">'48-Utility5'!$A$1:$N$61</definedName>
    <definedName name="Z_B165479B_DC25_403C_9595_F1A88A4AA9A2_.wvu.PrintArea" localSheetId="279" hidden="1">'48-Utility6'!$A$1:$N$61</definedName>
    <definedName name="Z_B165479B_DC25_403C_9595_F1A88A4AA9A2_.wvu.PrintArea" localSheetId="167" hidden="1">'49a.1-Utility1'!$A$1:$L$51</definedName>
    <definedName name="Z_B165479B_DC25_403C_9595_F1A88A4AA9A2_.wvu.PrintArea" localSheetId="190" hidden="1">'49a.1-Utility2 '!$A$1:$L$51</definedName>
    <definedName name="Z_B165479B_DC25_403C_9595_F1A88A4AA9A2_.wvu.PrintArea" localSheetId="213" hidden="1">'49a.1-Utility3'!$A$1:$L$51</definedName>
    <definedName name="Z_B165479B_DC25_403C_9595_F1A88A4AA9A2_.wvu.PrintArea" localSheetId="236" hidden="1">'49a.1-Utility4'!$A$1:$L$51</definedName>
    <definedName name="Z_B165479B_DC25_403C_9595_F1A88A4AA9A2_.wvu.PrintArea" localSheetId="259" hidden="1">'49a.1-Utility5'!$A$1:$L$51</definedName>
    <definedName name="Z_B165479B_DC25_403C_9595_F1A88A4AA9A2_.wvu.PrintArea" localSheetId="282" hidden="1">'49a.1-Utility6'!$A$1:$L$51</definedName>
    <definedName name="Z_B165479B_DC25_403C_9595_F1A88A4AA9A2_.wvu.PrintArea" localSheetId="166" hidden="1">'49a-Utility1'!$A$1:$L$51</definedName>
    <definedName name="Z_B165479B_DC25_403C_9595_F1A88A4AA9A2_.wvu.PrintArea" localSheetId="189" hidden="1">'49a-Utility2'!$A$1:$L$51</definedName>
    <definedName name="Z_B165479B_DC25_403C_9595_F1A88A4AA9A2_.wvu.PrintArea" localSheetId="212" hidden="1">'49a-Utility3'!$A$1:$L$51</definedName>
    <definedName name="Z_B165479B_DC25_403C_9595_F1A88A4AA9A2_.wvu.PrintArea" localSheetId="235" hidden="1">'49a-Utility4'!$A$1:$L$51</definedName>
    <definedName name="Z_B165479B_DC25_403C_9595_F1A88A4AA9A2_.wvu.PrintArea" localSheetId="258" hidden="1">'49a-Utility5'!$A$1:$L$51</definedName>
    <definedName name="Z_B165479B_DC25_403C_9595_F1A88A4AA9A2_.wvu.PrintArea" localSheetId="281" hidden="1">'49a-Utility6'!$A$1:$L$51</definedName>
    <definedName name="Z_B165479B_DC25_403C_9595_F1A88A4AA9A2_.wvu.PrintArea" localSheetId="165" hidden="1">'49-Utility1'!$A$1:$L$50</definedName>
    <definedName name="Z_B165479B_DC25_403C_9595_F1A88A4AA9A2_.wvu.PrintArea" localSheetId="188" hidden="1">'49-Utility2'!$A$1:$L$50</definedName>
    <definedName name="Z_B165479B_DC25_403C_9595_F1A88A4AA9A2_.wvu.PrintArea" localSheetId="211" hidden="1">'49-Utility3'!$A$1:$L$50</definedName>
    <definedName name="Z_B165479B_DC25_403C_9595_F1A88A4AA9A2_.wvu.PrintArea" localSheetId="234" hidden="1">'49-Utility4'!$A$1:$L$50</definedName>
    <definedName name="Z_B165479B_DC25_403C_9595_F1A88A4AA9A2_.wvu.PrintArea" localSheetId="257" hidden="1">'49-Utility5'!$A$1:$L$50</definedName>
    <definedName name="Z_B165479B_DC25_403C_9595_F1A88A4AA9A2_.wvu.PrintArea" localSheetId="280" hidden="1">'49-Utility6'!$A$1:$L$50</definedName>
    <definedName name="Z_B165479B_DC25_403C_9595_F1A88A4AA9A2_.wvu.PrintArea" localSheetId="12" hidden="1">'4-Trial Bal-Pub Assist Fnd'!$A$1:$H$46</definedName>
    <definedName name="Z_B165479B_DC25_403C_9595_F1A88A4AA9A2_.wvu.PrintArea" localSheetId="168" hidden="1">'50-Utility1'!$A$1:$M$30</definedName>
    <definedName name="Z_B165479B_DC25_403C_9595_F1A88A4AA9A2_.wvu.PrintArea" localSheetId="191" hidden="1">'50-Utility2'!$A$1:$M$30</definedName>
    <definedName name="Z_B165479B_DC25_403C_9595_F1A88A4AA9A2_.wvu.PrintArea" localSheetId="214" hidden="1">'50-Utility3'!$A$1:$M$30</definedName>
    <definedName name="Z_B165479B_DC25_403C_9595_F1A88A4AA9A2_.wvu.PrintArea" localSheetId="237" hidden="1">'50-Utility4'!$A$1:$M$30</definedName>
    <definedName name="Z_B165479B_DC25_403C_9595_F1A88A4AA9A2_.wvu.PrintArea" localSheetId="260" hidden="1">'50-Utility5'!$A$1:$M$30</definedName>
    <definedName name="Z_B165479B_DC25_403C_9595_F1A88A4AA9A2_.wvu.PrintArea" localSheetId="283" hidden="1">'50-Utility6'!$A$1:$M$30</definedName>
    <definedName name="Z_B165479B_DC25_403C_9595_F1A88A4AA9A2_.wvu.PrintArea" localSheetId="170" hidden="1">'51a-Utility1'!$A$1:$I$27</definedName>
    <definedName name="Z_B165479B_DC25_403C_9595_F1A88A4AA9A2_.wvu.PrintArea" localSheetId="193" hidden="1">'51a-Utility2'!$A$1:$I$27</definedName>
    <definedName name="Z_B165479B_DC25_403C_9595_F1A88A4AA9A2_.wvu.PrintArea" localSheetId="216" hidden="1">'51a-Utility3'!$A$1:$I$27</definedName>
    <definedName name="Z_B165479B_DC25_403C_9595_F1A88A4AA9A2_.wvu.PrintArea" localSheetId="239" hidden="1">'51a-Utility4'!$A$1:$I$27</definedName>
    <definedName name="Z_B165479B_DC25_403C_9595_F1A88A4AA9A2_.wvu.PrintArea" localSheetId="262" hidden="1">'51a-Utility5'!$A$1:$I$27</definedName>
    <definedName name="Z_B165479B_DC25_403C_9595_F1A88A4AA9A2_.wvu.PrintArea" localSheetId="285" hidden="1">'51a-Utility6'!$A$1:$I$27</definedName>
    <definedName name="Z_B165479B_DC25_403C_9595_F1A88A4AA9A2_.wvu.PrintArea" localSheetId="169" hidden="1">'51-Utility1'!$A$1:$L$29</definedName>
    <definedName name="Z_B165479B_DC25_403C_9595_F1A88A4AA9A2_.wvu.PrintArea" localSheetId="192" hidden="1">'51-Utility2'!$A$1:$L$29</definedName>
    <definedName name="Z_B165479B_DC25_403C_9595_F1A88A4AA9A2_.wvu.PrintArea" localSheetId="215" hidden="1">'51-Utility3'!$A$1:$L$29</definedName>
    <definedName name="Z_B165479B_DC25_403C_9595_F1A88A4AA9A2_.wvu.PrintArea" localSheetId="238" hidden="1">'51-Utility4'!$A$1:$L$29</definedName>
    <definedName name="Z_B165479B_DC25_403C_9595_F1A88A4AA9A2_.wvu.PrintArea" localSheetId="261" hidden="1">'51-Utility5'!$A$1:$L$29</definedName>
    <definedName name="Z_B165479B_DC25_403C_9595_F1A88A4AA9A2_.wvu.PrintArea" localSheetId="284" hidden="1">'51-Utility6'!$A$1:$L$29</definedName>
    <definedName name="Z_B165479B_DC25_403C_9595_F1A88A4AA9A2_.wvu.PrintArea" localSheetId="172" hidden="1">'52.1-Utility1'!$A$1:$L$28</definedName>
    <definedName name="Z_B165479B_DC25_403C_9595_F1A88A4AA9A2_.wvu.PrintArea" localSheetId="195" hidden="1">'52.1-Utility2'!$A$1:$L$28</definedName>
    <definedName name="Z_B165479B_DC25_403C_9595_F1A88A4AA9A2_.wvu.PrintArea" localSheetId="218" hidden="1">'52.1-Utility3'!$A$1:$L$28</definedName>
    <definedName name="Z_B165479B_DC25_403C_9595_F1A88A4AA9A2_.wvu.PrintArea" localSheetId="241" hidden="1">'52.1-Utility4'!$A$1:$L$28</definedName>
    <definedName name="Z_B165479B_DC25_403C_9595_F1A88A4AA9A2_.wvu.PrintArea" localSheetId="264" hidden="1">'52.1-Utility5'!$A$1:$L$28</definedName>
    <definedName name="Z_B165479B_DC25_403C_9595_F1A88A4AA9A2_.wvu.PrintArea" localSheetId="287" hidden="1">'52.1-Utility6'!$A$1:$L$28</definedName>
    <definedName name="Z_B165479B_DC25_403C_9595_F1A88A4AA9A2_.wvu.PrintArea" localSheetId="173" hidden="1">'52.2-Utility1'!$A$1:$L$28</definedName>
    <definedName name="Z_B165479B_DC25_403C_9595_F1A88A4AA9A2_.wvu.PrintArea" localSheetId="196" hidden="1">'52.2-Utility2'!$A$1:$L$28</definedName>
    <definedName name="Z_B165479B_DC25_403C_9595_F1A88A4AA9A2_.wvu.PrintArea" localSheetId="219" hidden="1">'52.2-Utility3'!$A$1:$L$28</definedName>
    <definedName name="Z_B165479B_DC25_403C_9595_F1A88A4AA9A2_.wvu.PrintArea" localSheetId="242" hidden="1">'52.2-Utility4'!$A$1:$L$28</definedName>
    <definedName name="Z_B165479B_DC25_403C_9595_F1A88A4AA9A2_.wvu.PrintArea" localSheetId="265" hidden="1">'52.2-Utility5'!$A$1:$L$28</definedName>
    <definedName name="Z_B165479B_DC25_403C_9595_F1A88A4AA9A2_.wvu.PrintArea" localSheetId="288" hidden="1">'52.2-Utility6'!$A$1:$L$28</definedName>
    <definedName name="Z_B165479B_DC25_403C_9595_F1A88A4AA9A2_.wvu.PrintArea" localSheetId="174" hidden="1">'52.3-Utility1'!$A$1:$L$28</definedName>
    <definedName name="Z_B165479B_DC25_403C_9595_F1A88A4AA9A2_.wvu.PrintArea" localSheetId="197" hidden="1">'52.3-Utility2'!$A$1:$L$28</definedName>
    <definedName name="Z_B165479B_DC25_403C_9595_F1A88A4AA9A2_.wvu.PrintArea" localSheetId="220" hidden="1">'52.3-Utility3'!$A$1:$L$28</definedName>
    <definedName name="Z_B165479B_DC25_403C_9595_F1A88A4AA9A2_.wvu.PrintArea" localSheetId="243" hidden="1">'52.3-Utility4'!$A$1:$L$28</definedName>
    <definedName name="Z_B165479B_DC25_403C_9595_F1A88A4AA9A2_.wvu.PrintArea" localSheetId="266" hidden="1">'52.3-Utility5'!$A$1:$L$28</definedName>
    <definedName name="Z_B165479B_DC25_403C_9595_F1A88A4AA9A2_.wvu.PrintArea" localSheetId="289" hidden="1">'52.3-Utility6'!$A$1:$L$28</definedName>
    <definedName name="Z_B165479B_DC25_403C_9595_F1A88A4AA9A2_.wvu.PrintArea" localSheetId="175" hidden="1">'52-Totals-Utility 1'!$A$1:$L$28</definedName>
    <definedName name="Z_B165479B_DC25_403C_9595_F1A88A4AA9A2_.wvu.PrintArea" localSheetId="198" hidden="1">'52-Totals-Utility2'!$A$1:$L$28</definedName>
    <definedName name="Z_B165479B_DC25_403C_9595_F1A88A4AA9A2_.wvu.PrintArea" localSheetId="221" hidden="1">'52-Totals-Utility3'!$A$1:$L$28</definedName>
    <definedName name="Z_B165479B_DC25_403C_9595_F1A88A4AA9A2_.wvu.PrintArea" localSheetId="244" hidden="1">'52-Totals-Utility4'!$A$1:$L$28</definedName>
    <definedName name="Z_B165479B_DC25_403C_9595_F1A88A4AA9A2_.wvu.PrintArea" localSheetId="267" hidden="1">'52-Totals-Utility5'!$A$1:$L$28</definedName>
    <definedName name="Z_B165479B_DC25_403C_9595_F1A88A4AA9A2_.wvu.PrintArea" localSheetId="290" hidden="1">'52-Totals-Utility6'!$A$1:$L$28</definedName>
    <definedName name="Z_B165479B_DC25_403C_9595_F1A88A4AA9A2_.wvu.PrintArea" localSheetId="286" hidden="1">'52-Utility 6'!$A$1:$L$28</definedName>
    <definedName name="Z_B165479B_DC25_403C_9595_F1A88A4AA9A2_.wvu.PrintArea" localSheetId="171" hidden="1">'52-Utility1'!$A$1:$L$28</definedName>
    <definedName name="Z_B165479B_DC25_403C_9595_F1A88A4AA9A2_.wvu.PrintArea" localSheetId="194" hidden="1">'52-Utility2'!$A$1:$L$28</definedName>
    <definedName name="Z_B165479B_DC25_403C_9595_F1A88A4AA9A2_.wvu.PrintArea" localSheetId="217" hidden="1">'52-Utility3'!$A$1:$L$28</definedName>
    <definedName name="Z_B165479B_DC25_403C_9595_F1A88A4AA9A2_.wvu.PrintArea" localSheetId="240" hidden="1">'52-Utility4'!$A$1:$L$28</definedName>
    <definedName name="Z_B165479B_DC25_403C_9595_F1A88A4AA9A2_.wvu.PrintArea" localSheetId="263" hidden="1">'52-Utility5'!$A$1:$L$28</definedName>
    <definedName name="Z_B165479B_DC25_403C_9595_F1A88A4AA9A2_.wvu.PrintArea" localSheetId="176" hidden="1">'53-Utility1'!$A$1:$J$54</definedName>
    <definedName name="Z_B165479B_DC25_403C_9595_F1A88A4AA9A2_.wvu.PrintArea" localSheetId="199" hidden="1">'53-Utility2'!$A$1:$J$54</definedName>
    <definedName name="Z_B165479B_DC25_403C_9595_F1A88A4AA9A2_.wvu.PrintArea" localSheetId="222" hidden="1">'53-Utility3'!$A$1:$J$54</definedName>
    <definedName name="Z_B165479B_DC25_403C_9595_F1A88A4AA9A2_.wvu.PrintArea" localSheetId="245" hidden="1">'53-Utility4'!$A$1:$J$54</definedName>
    <definedName name="Z_B165479B_DC25_403C_9595_F1A88A4AA9A2_.wvu.PrintArea" localSheetId="268" hidden="1">'53-Utility5'!$A$1:$J$54</definedName>
    <definedName name="Z_B165479B_DC25_403C_9595_F1A88A4AA9A2_.wvu.PrintArea" localSheetId="291" hidden="1">'53-Utility6'!$A$1:$J$54</definedName>
    <definedName name="Z_B165479B_DC25_403C_9595_F1A88A4AA9A2_.wvu.PrintArea" localSheetId="177" hidden="1">'54-Utility1'!$A$1:$J$52</definedName>
    <definedName name="Z_B165479B_DC25_403C_9595_F1A88A4AA9A2_.wvu.PrintArea" localSheetId="200" hidden="1">'54-Utility2'!$A$1:$J$52</definedName>
    <definedName name="Z_B165479B_DC25_403C_9595_F1A88A4AA9A2_.wvu.PrintArea" localSheetId="223" hidden="1">'54-Utility3'!$A$1:$J$52</definedName>
    <definedName name="Z_B165479B_DC25_403C_9595_F1A88A4AA9A2_.wvu.PrintArea" localSheetId="246" hidden="1">'54-Utility4'!$A$1:$J$52</definedName>
    <definedName name="Z_B165479B_DC25_403C_9595_F1A88A4AA9A2_.wvu.PrintArea" localSheetId="269" hidden="1">'54-Utility5'!$A$1:$J$52</definedName>
    <definedName name="Z_B165479B_DC25_403C_9595_F1A88A4AA9A2_.wvu.PrintArea" localSheetId="292" hidden="1">'54-Utility6'!$A$1:$J$52</definedName>
    <definedName name="Z_B165479B_DC25_403C_9595_F1A88A4AA9A2_.wvu.PrintArea" localSheetId="13" hidden="1">'5-Trial Bal-Grants'!$A$1:$H$48</definedName>
    <definedName name="Z_B165479B_DC25_403C_9595_F1A88A4AA9A2_.wvu.PrintArea" localSheetId="15" hidden="1">'6.1-Trial Bal-Trust Fnds'!$A$1:$H$48</definedName>
    <definedName name="Z_B165479B_DC25_403C_9595_F1A88A4AA9A2_.wvu.PrintArea" localSheetId="16" hidden="1">'6.2-Trial Bal-Trust Fnds'!$A$1:$H$48</definedName>
    <definedName name="Z_B165479B_DC25_403C_9595_F1A88A4AA9A2_.wvu.PrintArea" localSheetId="17" hidden="1">'6.3-Trial Bal-Trust Fnds'!$A$1:$H$48</definedName>
    <definedName name="Z_B165479B_DC25_403C_9595_F1A88A4AA9A2_.wvu.PrintArea" localSheetId="18" hidden="1">'6.4-Trial Bal-Trust Fnds'!$A$1:$H$48</definedName>
    <definedName name="Z_B165479B_DC25_403C_9595_F1A88A4AA9A2_.wvu.PrintArea" localSheetId="19" hidden="1">'6.TOTAL-Trial Bal-Trust Fnds'!$A$1:$H$48</definedName>
    <definedName name="Z_B165479B_DC25_403C_9595_F1A88A4AA9A2_.wvu.PrintArea" localSheetId="1" hidden="1">'69 - Instructions'!$A$1:$M$87</definedName>
    <definedName name="Z_B165479B_DC25_403C_9595_F1A88A4AA9A2_.wvu.PrintArea" localSheetId="21" hidden="1">'6b.1-Trust Fund Reserves'!$A$1:$M$50</definedName>
    <definedName name="Z_B165479B_DC25_403C_9595_F1A88A4AA9A2_.wvu.PrintArea" localSheetId="22" hidden="1">'6b.2-Trust Fund Reserves'!$A$1:$M$50</definedName>
    <definedName name="Z_B165479B_DC25_403C_9595_F1A88A4AA9A2_.wvu.PrintArea" localSheetId="23" hidden="1">'6b.3-Trust Fund Reserves'!$A$1:$M$50</definedName>
    <definedName name="Z_B165479B_DC25_403C_9595_F1A88A4AA9A2_.wvu.PrintArea" localSheetId="24" hidden="1">'6b-Total Trust Fund Reserves'!$A$1:$M$50</definedName>
    <definedName name="Z_B165479B_DC25_403C_9595_F1A88A4AA9A2_.wvu.PrintArea" localSheetId="20" hidden="1">'6b-Trust Fund Reserves'!$A$1:$M$50</definedName>
    <definedName name="Z_B165479B_DC25_403C_9595_F1A88A4AA9A2_.wvu.PrintArea" localSheetId="14" hidden="1">'6-Trial Bal-Trust Fnds'!$A$1:$H$47</definedName>
    <definedName name="Z_B165479B_DC25_403C_9595_F1A88A4AA9A2_.wvu.PrintArea" localSheetId="25" hidden="1">'7-Trust Asm Cash &amp; Investments'!$A$1:$L$27</definedName>
    <definedName name="Z_B165479B_DC25_403C_9595_F1A88A4AA9A2_.wvu.PrintArea" localSheetId="27" hidden="1">'8.1-Trial Bal-Gen Cap Fund'!$A$1:$H$48</definedName>
    <definedName name="Z_B165479B_DC25_403C_9595_F1A88A4AA9A2_.wvu.PrintArea" localSheetId="26" hidden="1">'8-Trial Bal-Gen Cap Fund'!$A$1:$H$48</definedName>
    <definedName name="Z_B165479B_DC25_403C_9595_F1A88A4AA9A2_.wvu.PrintArea" localSheetId="33" hidden="1">'9a TOTAL-Cash Reconciliation'!$A$1:$F$49</definedName>
    <definedName name="Z_B165479B_DC25_403C_9595_F1A88A4AA9A2_.wvu.PrintArea" localSheetId="30" hidden="1">'9a.1-Cash Reconciliation'!$A$1:$F$49</definedName>
    <definedName name="Z_B165479B_DC25_403C_9595_F1A88A4AA9A2_.wvu.PrintArea" localSheetId="31" hidden="1">'9a.2-Cash Reconciliation'!$A$1:$F$49</definedName>
    <definedName name="Z_B165479B_DC25_403C_9595_F1A88A4AA9A2_.wvu.PrintArea" localSheetId="32" hidden="1">'9a.3-Cash Reconciliation'!$A$1:$F$49</definedName>
    <definedName name="Z_B165479B_DC25_403C_9595_F1A88A4AA9A2_.wvu.PrintArea" localSheetId="29" hidden="1">'9a-Cash Reconciliation'!$A$1:$F$49</definedName>
    <definedName name="Z_B165479B_DC25_403C_9595_F1A88A4AA9A2_.wvu.PrintArea" localSheetId="28" hidden="1">'9-Cash Reconciliation'!$A$1:$I$52</definedName>
    <definedName name="Z_B165479B_DC25_403C_9595_F1A88A4AA9A2_.wvu.PrintArea" localSheetId="0" hidden="1">Instructions!$A$1:$B$238</definedName>
    <definedName name="Z_B165479B_DC25_403C_9595_F1A88A4AA9A2_.wvu.PrintArea" localSheetId="2" hidden="1">'KEY INPUTS'!$C$1:$E$60</definedName>
  </definedNames>
  <calcPr calcId="191029"/>
  <customWorkbookViews>
    <customWorkbookView name="Hesham Ebrahim - Personal View" guid="{AC653BD0-46E3-42CB-9C76-32121A57B65A}" mergeInterval="0" personalView="1" maximized="1" windowWidth="1532" windowHeight="653" tabRatio="808" activeSheetId="3"/>
    <customWorkbookView name="Ana Silva - Personal View" guid="{B165479B-DC25-403C-9595-F1A88A4AA9A2}" mergeInterval="0" personalView="1" maximized="1" windowWidth="1532" windowHeight="639" tabRatio="927" activeSheetId="109"/>
    <customWorkbookView name="Windows User - Personal View" guid="{A64E4C9E-A3DA-4AAA-8607-F524450B9436}" mergeInterval="0" personalView="1" maximized="1" windowWidth="1916" windowHeight="773" tabRatio="908" activeSheetId="116"/>
    <customWorkbookView name="Gallello, Matthew - Personal View" guid="{AB4FBD91-4533-473A-9702-569FF6402073}" mergeInterval="0" personalView="1" maximized="1" xWindow="-8" yWindow="-8" windowWidth="1936" windowHeight="1056" tabRatio="908" activeSheetId="28"/>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 i="21" l="1"/>
  <c r="H22" i="16"/>
  <c r="F6" i="29" l="1"/>
  <c r="H13" i="117"/>
  <c r="H12" i="117"/>
  <c r="H31" i="106" l="1"/>
  <c r="K15" i="135" l="1"/>
  <c r="K14" i="135"/>
  <c r="K13" i="135"/>
  <c r="K12" i="135"/>
  <c r="K11" i="135"/>
  <c r="K10" i="135"/>
  <c r="K9" i="135"/>
  <c r="H13" i="29" l="1"/>
  <c r="G13" i="29"/>
  <c r="G6" i="29"/>
  <c r="J18" i="231" l="1"/>
  <c r="J18" i="162"/>
  <c r="G40" i="12" l="1"/>
  <c r="H41" i="12" l="1"/>
  <c r="K9" i="126" l="1"/>
  <c r="K8" i="126"/>
  <c r="F55" i="5"/>
  <c r="H56" i="5"/>
  <c r="L23" i="165" l="1"/>
  <c r="J23" i="165"/>
  <c r="H23" i="165"/>
  <c r="L23" i="188"/>
  <c r="J23" i="188"/>
  <c r="H23" i="188"/>
  <c r="L23" i="211"/>
  <c r="J23" i="211"/>
  <c r="H23" i="211"/>
  <c r="L23" i="234"/>
  <c r="J23" i="234"/>
  <c r="H23" i="234"/>
  <c r="L23" i="257"/>
  <c r="J23" i="257"/>
  <c r="H23" i="257"/>
  <c r="L23" i="280"/>
  <c r="J23" i="280"/>
  <c r="H23" i="280"/>
  <c r="B27" i="131"/>
  <c r="B16" i="131"/>
  <c r="E4" i="222" l="1"/>
  <c r="E4" i="198"/>
  <c r="H25" i="11"/>
  <c r="B6" i="158"/>
  <c r="B3" i="164"/>
  <c r="B5" i="165"/>
  <c r="B4" i="166"/>
  <c r="B28" i="178"/>
  <c r="B2" i="169"/>
  <c r="J44" i="115"/>
  <c r="J40" i="115"/>
  <c r="G32" i="123" l="1"/>
  <c r="G16" i="106"/>
  <c r="B8" i="106"/>
  <c r="I30" i="29"/>
  <c r="I29" i="29"/>
  <c r="I28" i="29"/>
  <c r="I12" i="112" l="1"/>
  <c r="I11" i="112"/>
  <c r="I12" i="113"/>
  <c r="I11" i="113"/>
  <c r="I12" i="114"/>
  <c r="I11" i="114"/>
  <c r="I12" i="111"/>
  <c r="I11" i="111"/>
  <c r="H45" i="15"/>
  <c r="N18" i="127"/>
  <c r="I29" i="116" l="1"/>
  <c r="H28" i="116"/>
  <c r="G38" i="107"/>
  <c r="G17" i="107"/>
  <c r="L59" i="154" l="1"/>
  <c r="H33" i="271"/>
  <c r="H33" i="248"/>
  <c r="H33" i="225"/>
  <c r="H33" i="202"/>
  <c r="H33" i="179"/>
  <c r="H33" i="156"/>
  <c r="I24" i="177"/>
  <c r="I24" i="200"/>
  <c r="I24" i="223"/>
  <c r="I24" i="246"/>
  <c r="I24" i="269"/>
  <c r="I24" i="292"/>
  <c r="B6" i="271" l="1"/>
  <c r="B6" i="248"/>
  <c r="B6" i="225"/>
  <c r="I28" i="258"/>
  <c r="I42" i="293"/>
  <c r="I42" i="270"/>
  <c r="I42" i="247"/>
  <c r="I42" i="224"/>
  <c r="I42" i="201"/>
  <c r="I42" i="178"/>
  <c r="I43" i="178" s="1"/>
  <c r="I41" i="177"/>
  <c r="I41" i="292"/>
  <c r="I41" i="269"/>
  <c r="I41" i="246"/>
  <c r="I41" i="223"/>
  <c r="I41" i="200"/>
  <c r="I22" i="284"/>
  <c r="I22" i="261"/>
  <c r="I22" i="238"/>
  <c r="I22" i="215"/>
  <c r="B27" i="282"/>
  <c r="B27" i="283"/>
  <c r="B27" i="259"/>
  <c r="B27" i="260"/>
  <c r="B27" i="236"/>
  <c r="B27" i="237"/>
  <c r="B27" i="213"/>
  <c r="B27" i="214"/>
  <c r="B16" i="283"/>
  <c r="B4" i="283"/>
  <c r="B16" i="282"/>
  <c r="B4" i="282"/>
  <c r="B16" i="259"/>
  <c r="B16" i="260"/>
  <c r="B4" i="260"/>
  <c r="B4" i="259"/>
  <c r="B16" i="237"/>
  <c r="B4" i="237"/>
  <c r="B16" i="236"/>
  <c r="B4" i="236"/>
  <c r="B4" i="214"/>
  <c r="B16" i="214"/>
  <c r="B16" i="213"/>
  <c r="B4" i="213"/>
  <c r="B27" i="281"/>
  <c r="B27" i="258"/>
  <c r="B27" i="235"/>
  <c r="B27" i="212"/>
  <c r="B16" i="281"/>
  <c r="B16" i="258"/>
  <c r="B16" i="235"/>
  <c r="B16" i="212"/>
  <c r="B4" i="281"/>
  <c r="B4" i="258"/>
  <c r="B4" i="235"/>
  <c r="B4" i="212"/>
  <c r="B33" i="279"/>
  <c r="B33" i="256"/>
  <c r="B33" i="233"/>
  <c r="B33" i="210"/>
  <c r="B3" i="279"/>
  <c r="B3" i="256"/>
  <c r="B3" i="233"/>
  <c r="B3" i="210"/>
  <c r="B3" i="187"/>
  <c r="B33" i="278"/>
  <c r="B33" i="255"/>
  <c r="B33" i="232"/>
  <c r="B33" i="209"/>
  <c r="B17" i="278"/>
  <c r="B17" i="255"/>
  <c r="B17" i="232"/>
  <c r="B17" i="209"/>
  <c r="B5" i="277"/>
  <c r="B5" i="254"/>
  <c r="B5" i="231"/>
  <c r="B5" i="208"/>
  <c r="B28" i="293" l="1"/>
  <c r="B3" i="292"/>
  <c r="B30" i="292"/>
  <c r="B30" i="269"/>
  <c r="B3" i="269"/>
  <c r="B28" i="270"/>
  <c r="B3" i="293"/>
  <c r="B3" i="270"/>
  <c r="B3" i="247"/>
  <c r="B3" i="224"/>
  <c r="B28" i="224"/>
  <c r="B28" i="247"/>
  <c r="B30" i="246"/>
  <c r="B3" i="246"/>
  <c r="B3" i="223"/>
  <c r="B30" i="223"/>
  <c r="B2" i="291"/>
  <c r="B2" i="290"/>
  <c r="B2" i="289"/>
  <c r="B2" i="288"/>
  <c r="B2" i="287"/>
  <c r="B2" i="268"/>
  <c r="B2" i="267"/>
  <c r="B2" i="266"/>
  <c r="B2" i="265"/>
  <c r="B2" i="264"/>
  <c r="B2" i="245"/>
  <c r="B2" i="244"/>
  <c r="B2" i="243"/>
  <c r="B2" i="242"/>
  <c r="B2" i="241"/>
  <c r="B2" i="222"/>
  <c r="B2" i="221"/>
  <c r="B2" i="220"/>
  <c r="B2" i="219"/>
  <c r="B2" i="218"/>
  <c r="B2" i="286"/>
  <c r="B2" i="263"/>
  <c r="B2" i="240"/>
  <c r="B2" i="217"/>
  <c r="B2" i="194"/>
  <c r="B2" i="285"/>
  <c r="B2" i="216"/>
  <c r="B2" i="239"/>
  <c r="B2" i="262"/>
  <c r="B2" i="215"/>
  <c r="B2" i="238"/>
  <c r="B2" i="261"/>
  <c r="B2" i="284"/>
  <c r="B5" i="280"/>
  <c r="B5" i="257"/>
  <c r="B5" i="234"/>
  <c r="B5" i="211"/>
  <c r="B2" i="275"/>
  <c r="B2" i="252"/>
  <c r="B2" i="229"/>
  <c r="B2" i="206"/>
  <c r="B6" i="202"/>
  <c r="B28" i="201"/>
  <c r="B3" i="201"/>
  <c r="B30" i="200"/>
  <c r="B3" i="200"/>
  <c r="B2" i="199"/>
  <c r="B2" i="198"/>
  <c r="B2" i="197"/>
  <c r="B2" i="196"/>
  <c r="B2" i="195" l="1"/>
  <c r="B2" i="193"/>
  <c r="I22" i="192"/>
  <c r="B2" i="192"/>
  <c r="B27" i="189"/>
  <c r="B16" i="189"/>
  <c r="B4" i="189"/>
  <c r="H40" i="273"/>
  <c r="G43" i="274"/>
  <c r="B6" i="273"/>
  <c r="B6" i="272"/>
  <c r="H40" i="250"/>
  <c r="B6" i="250"/>
  <c r="B6" i="249"/>
  <c r="B6" i="204"/>
  <c r="B6" i="226"/>
  <c r="B6" i="227"/>
  <c r="H40" i="227"/>
  <c r="H40" i="204"/>
  <c r="B6" i="203"/>
  <c r="B6" i="181"/>
  <c r="B6" i="180"/>
  <c r="H40" i="181"/>
  <c r="C26" i="273"/>
  <c r="G44" i="272"/>
  <c r="G12" i="273" s="1"/>
  <c r="G44" i="273" s="1"/>
  <c r="H16" i="272"/>
  <c r="H44" i="272" s="1"/>
  <c r="H12" i="273" s="1"/>
  <c r="C26" i="250"/>
  <c r="G44" i="249"/>
  <c r="G12" i="250" s="1"/>
  <c r="G44" i="250" s="1"/>
  <c r="H16" i="249"/>
  <c r="H44" i="249" s="1"/>
  <c r="H12" i="250" s="1"/>
  <c r="C26" i="227"/>
  <c r="G44" i="226"/>
  <c r="G12" i="227" s="1"/>
  <c r="G44" i="227" s="1"/>
  <c r="H16" i="226"/>
  <c r="H44" i="226" s="1"/>
  <c r="H12" i="227" s="1"/>
  <c r="C26" i="204"/>
  <c r="G44" i="203"/>
  <c r="G12" i="204" s="1"/>
  <c r="G44" i="204" s="1"/>
  <c r="H16" i="203"/>
  <c r="H44" i="203" s="1"/>
  <c r="H12" i="204" s="1"/>
  <c r="C26" i="181"/>
  <c r="G44" i="180"/>
  <c r="G12" i="181" s="1"/>
  <c r="G44" i="181" s="1"/>
  <c r="H16" i="180"/>
  <c r="H44" i="180" s="1"/>
  <c r="H12" i="181" s="1"/>
  <c r="G11" i="167" l="1"/>
  <c r="C26" i="158"/>
  <c r="H40" i="158" l="1"/>
  <c r="H42" i="158"/>
  <c r="B4" i="191"/>
  <c r="B16" i="191"/>
  <c r="B27" i="190"/>
  <c r="B27" i="191"/>
  <c r="B16" i="190"/>
  <c r="B4" i="190"/>
  <c r="B27" i="166"/>
  <c r="B16" i="166"/>
  <c r="B5" i="188"/>
  <c r="B33" i="187"/>
  <c r="B33" i="164"/>
  <c r="B33" i="186"/>
  <c r="B33" i="163"/>
  <c r="B17" i="186"/>
  <c r="B17" i="163"/>
  <c r="B5" i="185"/>
  <c r="B5" i="162"/>
  <c r="B2" i="183"/>
  <c r="B2" i="160"/>
  <c r="B6" i="156"/>
  <c r="B6" i="179"/>
  <c r="B6" i="157"/>
  <c r="B3" i="178"/>
  <c r="B30" i="177"/>
  <c r="B3" i="177"/>
  <c r="B2" i="176"/>
  <c r="B2" i="175"/>
  <c r="B2" i="174"/>
  <c r="B2" i="173"/>
  <c r="B2" i="172"/>
  <c r="B2" i="171"/>
  <c r="B2" i="170"/>
  <c r="I22" i="169"/>
  <c r="B27" i="168"/>
  <c r="B27" i="167"/>
  <c r="B16" i="168"/>
  <c r="B4" i="168"/>
  <c r="B4" i="167"/>
  <c r="B16" i="167"/>
  <c r="L35" i="278" l="1"/>
  <c r="L7" i="278"/>
  <c r="V10" i="278"/>
  <c r="J39" i="277"/>
  <c r="J25" i="277"/>
  <c r="J24" i="277"/>
  <c r="L35" i="255"/>
  <c r="L7" i="255"/>
  <c r="V10" i="255"/>
  <c r="J39" i="254"/>
  <c r="J25" i="254"/>
  <c r="J24" i="254"/>
  <c r="L35" i="232"/>
  <c r="L7" i="232"/>
  <c r="V10" i="232"/>
  <c r="J39" i="231"/>
  <c r="J25" i="231"/>
  <c r="J24" i="231"/>
  <c r="L7" i="209"/>
  <c r="L35" i="209"/>
  <c r="V10" i="209"/>
  <c r="J39" i="208"/>
  <c r="J25" i="208"/>
  <c r="J24" i="208"/>
  <c r="L35" i="186"/>
  <c r="L7" i="186"/>
  <c r="V10" i="186"/>
  <c r="J39" i="185"/>
  <c r="J25" i="185"/>
  <c r="J24" i="185"/>
  <c r="K26" i="105"/>
  <c r="K25" i="105"/>
  <c r="K24" i="105"/>
  <c r="K23" i="105"/>
  <c r="K22" i="105"/>
  <c r="K21" i="105"/>
  <c r="K20" i="105"/>
  <c r="K19" i="105"/>
  <c r="K18" i="105"/>
  <c r="K17" i="105"/>
  <c r="K16" i="105"/>
  <c r="K15" i="105"/>
  <c r="K14" i="105"/>
  <c r="K13" i="105"/>
  <c r="K12" i="105"/>
  <c r="K11" i="105"/>
  <c r="K10" i="105"/>
  <c r="K9" i="105"/>
  <c r="K26" i="104"/>
  <c r="K25" i="104"/>
  <c r="K24" i="104"/>
  <c r="K23" i="104"/>
  <c r="K22" i="104"/>
  <c r="K21" i="104"/>
  <c r="K20" i="104"/>
  <c r="K19" i="104"/>
  <c r="K18" i="104"/>
  <c r="K17" i="104"/>
  <c r="K16" i="104"/>
  <c r="K15" i="104"/>
  <c r="K14" i="104"/>
  <c r="K13" i="104"/>
  <c r="K12" i="104"/>
  <c r="K11" i="104"/>
  <c r="K10" i="104"/>
  <c r="K9" i="104"/>
  <c r="K26" i="103"/>
  <c r="K25" i="103"/>
  <c r="K24" i="103"/>
  <c r="K23" i="103"/>
  <c r="K22" i="103"/>
  <c r="K21" i="103"/>
  <c r="K20" i="103"/>
  <c r="K19" i="103"/>
  <c r="K18" i="103"/>
  <c r="K17" i="103"/>
  <c r="K16" i="103"/>
  <c r="K15" i="103"/>
  <c r="K14" i="103"/>
  <c r="K13" i="103"/>
  <c r="K12" i="103"/>
  <c r="K11" i="103"/>
  <c r="K10" i="103"/>
  <c r="K9" i="103"/>
  <c r="L26" i="101"/>
  <c r="L25" i="101"/>
  <c r="L24" i="101"/>
  <c r="L23" i="101"/>
  <c r="L22" i="101"/>
  <c r="L21" i="101"/>
  <c r="L20" i="101"/>
  <c r="L19" i="101"/>
  <c r="L18" i="101"/>
  <c r="L17" i="101"/>
  <c r="L16" i="101"/>
  <c r="L15" i="101"/>
  <c r="L14" i="101"/>
  <c r="L13" i="101"/>
  <c r="L12" i="101"/>
  <c r="L11" i="101"/>
  <c r="L10" i="101"/>
  <c r="L9" i="101"/>
  <c r="L26" i="100"/>
  <c r="L25" i="100"/>
  <c r="L24" i="100"/>
  <c r="L23" i="100"/>
  <c r="L22" i="100"/>
  <c r="L21" i="100"/>
  <c r="L20" i="100"/>
  <c r="L19" i="100"/>
  <c r="L18" i="100"/>
  <c r="L17" i="100"/>
  <c r="L16" i="100"/>
  <c r="L15" i="100"/>
  <c r="L14" i="100"/>
  <c r="L13" i="100"/>
  <c r="L12" i="100"/>
  <c r="L11" i="100"/>
  <c r="L10" i="100"/>
  <c r="L9" i="100"/>
  <c r="L26" i="99"/>
  <c r="L25" i="99"/>
  <c r="L24" i="99"/>
  <c r="L23" i="99"/>
  <c r="L22" i="99"/>
  <c r="L21" i="99"/>
  <c r="L20" i="99"/>
  <c r="L19" i="99"/>
  <c r="L18" i="99"/>
  <c r="L17" i="99"/>
  <c r="L16" i="99"/>
  <c r="L15" i="99"/>
  <c r="L14" i="99"/>
  <c r="L13" i="99"/>
  <c r="L12" i="99"/>
  <c r="L11" i="99"/>
  <c r="L10" i="99"/>
  <c r="L9" i="99"/>
  <c r="L26" i="98"/>
  <c r="L25" i="98"/>
  <c r="L24" i="98"/>
  <c r="L23" i="98"/>
  <c r="L22" i="98"/>
  <c r="L21" i="98"/>
  <c r="L20" i="98"/>
  <c r="L19" i="98"/>
  <c r="L18" i="98"/>
  <c r="L17" i="98"/>
  <c r="L16" i="98"/>
  <c r="L15" i="98"/>
  <c r="L14" i="98"/>
  <c r="L13" i="98"/>
  <c r="L12" i="98"/>
  <c r="L11" i="98"/>
  <c r="L10" i="98"/>
  <c r="L9" i="98"/>
  <c r="L26" i="97"/>
  <c r="L25" i="97"/>
  <c r="L24" i="97"/>
  <c r="L23" i="97"/>
  <c r="L22" i="97"/>
  <c r="L21" i="97"/>
  <c r="L20" i="97"/>
  <c r="L19" i="97"/>
  <c r="L18" i="97"/>
  <c r="L17" i="97"/>
  <c r="L16" i="97"/>
  <c r="L15" i="97"/>
  <c r="L14" i="97"/>
  <c r="L13" i="97"/>
  <c r="L12" i="97"/>
  <c r="L11" i="97"/>
  <c r="L10" i="97"/>
  <c r="L9" i="97"/>
  <c r="L26" i="96"/>
  <c r="L25" i="96"/>
  <c r="L24" i="96"/>
  <c r="L23" i="96"/>
  <c r="L22" i="96"/>
  <c r="L21" i="96"/>
  <c r="L20" i="96"/>
  <c r="L19" i="96"/>
  <c r="L18" i="96"/>
  <c r="L17" i="96"/>
  <c r="L16" i="96"/>
  <c r="L15" i="96"/>
  <c r="L14" i="96"/>
  <c r="L13" i="96"/>
  <c r="L12" i="96"/>
  <c r="L11" i="96"/>
  <c r="L10" i="96"/>
  <c r="L9" i="96"/>
  <c r="L26" i="95"/>
  <c r="L25" i="95"/>
  <c r="L24" i="95"/>
  <c r="L23" i="95"/>
  <c r="L22" i="95"/>
  <c r="L21" i="95"/>
  <c r="L20" i="95"/>
  <c r="L19" i="95"/>
  <c r="L18" i="95"/>
  <c r="L17" i="95"/>
  <c r="L16" i="95"/>
  <c r="L15" i="95"/>
  <c r="L14" i="95"/>
  <c r="L13" i="95"/>
  <c r="L12" i="95"/>
  <c r="L11" i="95"/>
  <c r="L10" i="95"/>
  <c r="L9" i="95"/>
  <c r="L26" i="94"/>
  <c r="L25" i="94"/>
  <c r="L24" i="94"/>
  <c r="L23" i="94"/>
  <c r="L22" i="94"/>
  <c r="L21" i="94"/>
  <c r="L20" i="94"/>
  <c r="L19" i="94"/>
  <c r="L18" i="94"/>
  <c r="L17" i="94"/>
  <c r="L16" i="94"/>
  <c r="L15" i="94"/>
  <c r="L14" i="94"/>
  <c r="L13" i="94"/>
  <c r="L12" i="94"/>
  <c r="L11" i="94"/>
  <c r="L10" i="94"/>
  <c r="L9" i="94"/>
  <c r="L26" i="93"/>
  <c r="L25" i="93"/>
  <c r="L24" i="93"/>
  <c r="L23" i="93"/>
  <c r="L22" i="93"/>
  <c r="L21" i="93"/>
  <c r="L20" i="93"/>
  <c r="L19" i="93"/>
  <c r="L18" i="93"/>
  <c r="L17" i="93"/>
  <c r="L16" i="93"/>
  <c r="L15" i="93"/>
  <c r="L14" i="93"/>
  <c r="L13" i="93"/>
  <c r="L12" i="93"/>
  <c r="L11" i="93"/>
  <c r="L10" i="93"/>
  <c r="L9" i="93"/>
  <c r="L26" i="92"/>
  <c r="L25" i="92"/>
  <c r="L24" i="92"/>
  <c r="L23" i="92"/>
  <c r="L22" i="92"/>
  <c r="L21" i="92"/>
  <c r="L20" i="92"/>
  <c r="L19" i="92"/>
  <c r="L18" i="92"/>
  <c r="L17" i="92"/>
  <c r="L16" i="92"/>
  <c r="L15" i="92"/>
  <c r="L14" i="92"/>
  <c r="L13" i="92"/>
  <c r="L12" i="92"/>
  <c r="L11" i="92"/>
  <c r="L10" i="92"/>
  <c r="L9" i="92"/>
  <c r="L26" i="91"/>
  <c r="L25" i="91"/>
  <c r="L24" i="91"/>
  <c r="L23" i="91"/>
  <c r="L22" i="91"/>
  <c r="L21" i="91"/>
  <c r="L20" i="91"/>
  <c r="L19" i="91"/>
  <c r="L18" i="91"/>
  <c r="L17" i="91"/>
  <c r="L16" i="91"/>
  <c r="L15" i="91"/>
  <c r="L14" i="91"/>
  <c r="L13" i="91"/>
  <c r="L12" i="91"/>
  <c r="L11" i="91"/>
  <c r="L10" i="91"/>
  <c r="L9" i="91"/>
  <c r="L26" i="90"/>
  <c r="L25" i="90"/>
  <c r="L24" i="90"/>
  <c r="L23" i="90"/>
  <c r="L22" i="90"/>
  <c r="L21" i="90"/>
  <c r="L20" i="90"/>
  <c r="L19" i="90"/>
  <c r="L18" i="90"/>
  <c r="L17" i="90"/>
  <c r="L16" i="90"/>
  <c r="L15" i="90"/>
  <c r="L14" i="90"/>
  <c r="L13" i="90"/>
  <c r="L12" i="90"/>
  <c r="L11" i="90"/>
  <c r="L10" i="90"/>
  <c r="L9" i="90"/>
  <c r="L26" i="89"/>
  <c r="L25" i="89"/>
  <c r="L24" i="89"/>
  <c r="L23" i="89"/>
  <c r="L22" i="89"/>
  <c r="L21" i="89"/>
  <c r="L20" i="89"/>
  <c r="L19" i="89"/>
  <c r="L18" i="89"/>
  <c r="L17" i="89"/>
  <c r="L16" i="89"/>
  <c r="L15" i="89"/>
  <c r="L14" i="89"/>
  <c r="L13" i="89"/>
  <c r="L12" i="89"/>
  <c r="L11" i="89"/>
  <c r="L10" i="89"/>
  <c r="L9" i="89"/>
  <c r="L26" i="88"/>
  <c r="L25" i="88"/>
  <c r="L24" i="88"/>
  <c r="L23" i="88"/>
  <c r="L22" i="88"/>
  <c r="L21" i="88"/>
  <c r="L20" i="88"/>
  <c r="L19" i="88"/>
  <c r="L18" i="88"/>
  <c r="L17" i="88"/>
  <c r="L16" i="88"/>
  <c r="L15" i="88"/>
  <c r="L14" i="88"/>
  <c r="L13" i="88"/>
  <c r="L12" i="88"/>
  <c r="L11" i="88"/>
  <c r="L10" i="88"/>
  <c r="L9" i="88"/>
  <c r="L26" i="87"/>
  <c r="L25" i="87"/>
  <c r="L24" i="87"/>
  <c r="L23" i="87"/>
  <c r="L22" i="87"/>
  <c r="L21" i="87"/>
  <c r="L20" i="87"/>
  <c r="L19" i="87"/>
  <c r="L18" i="87"/>
  <c r="L17" i="87"/>
  <c r="L16" i="87"/>
  <c r="L15" i="87"/>
  <c r="L14" i="87"/>
  <c r="L13" i="87"/>
  <c r="L12" i="87"/>
  <c r="L11" i="87"/>
  <c r="L10" i="87"/>
  <c r="L9" i="87"/>
  <c r="L26" i="86"/>
  <c r="L25" i="86"/>
  <c r="L24" i="86"/>
  <c r="L23" i="86"/>
  <c r="L22" i="86"/>
  <c r="L21" i="86"/>
  <c r="L20" i="86"/>
  <c r="L19" i="86"/>
  <c r="L18" i="86"/>
  <c r="L17" i="86"/>
  <c r="L16" i="86"/>
  <c r="L15" i="86"/>
  <c r="L14" i="86"/>
  <c r="L13" i="86"/>
  <c r="L12" i="86"/>
  <c r="L11" i="86"/>
  <c r="L10" i="86"/>
  <c r="L9" i="86"/>
  <c r="L26" i="85"/>
  <c r="L25" i="85"/>
  <c r="L24" i="85"/>
  <c r="L23" i="85"/>
  <c r="L22" i="85"/>
  <c r="L21" i="85"/>
  <c r="L20" i="85"/>
  <c r="L19" i="85"/>
  <c r="L18" i="85"/>
  <c r="L17" i="85"/>
  <c r="L16" i="85"/>
  <c r="L15" i="85"/>
  <c r="L14" i="85"/>
  <c r="L13" i="85"/>
  <c r="L12" i="85"/>
  <c r="L11" i="85"/>
  <c r="L10" i="85"/>
  <c r="L9" i="85"/>
  <c r="L26" i="84"/>
  <c r="L25" i="84"/>
  <c r="L24" i="84"/>
  <c r="L23" i="84"/>
  <c r="L22" i="84"/>
  <c r="L21" i="84"/>
  <c r="L20" i="84"/>
  <c r="L19" i="84"/>
  <c r="L18" i="84"/>
  <c r="L17" i="84"/>
  <c r="L16" i="84"/>
  <c r="L15" i="84"/>
  <c r="L14" i="84"/>
  <c r="L13" i="84"/>
  <c r="L12" i="84"/>
  <c r="L11" i="84"/>
  <c r="L10" i="84"/>
  <c r="L9" i="84"/>
  <c r="L26" i="83"/>
  <c r="L25" i="83"/>
  <c r="L24" i="83"/>
  <c r="L23" i="83"/>
  <c r="L22" i="83"/>
  <c r="L21" i="83"/>
  <c r="L20" i="83"/>
  <c r="L19" i="83"/>
  <c r="L18" i="83"/>
  <c r="L17" i="83"/>
  <c r="L16" i="83"/>
  <c r="L15" i="83"/>
  <c r="L14" i="83"/>
  <c r="L13" i="83"/>
  <c r="L12" i="83"/>
  <c r="L11" i="83"/>
  <c r="L10" i="83"/>
  <c r="L9" i="83"/>
  <c r="L26" i="82"/>
  <c r="L25" i="82"/>
  <c r="L24" i="82"/>
  <c r="L23" i="82"/>
  <c r="L22" i="82"/>
  <c r="L21" i="82"/>
  <c r="L20" i="82"/>
  <c r="L19" i="82"/>
  <c r="L18" i="82"/>
  <c r="L17" i="82"/>
  <c r="L16" i="82"/>
  <c r="L15" i="82"/>
  <c r="L14" i="82"/>
  <c r="L13" i="82"/>
  <c r="L12" i="82"/>
  <c r="L11" i="82"/>
  <c r="L10" i="82"/>
  <c r="L9" i="82"/>
  <c r="L26" i="81"/>
  <c r="L25" i="81"/>
  <c r="L24" i="81"/>
  <c r="L23" i="81"/>
  <c r="L22" i="81"/>
  <c r="L21" i="81"/>
  <c r="L20" i="81"/>
  <c r="L19" i="81"/>
  <c r="L18" i="81"/>
  <c r="L17" i="81"/>
  <c r="L16" i="81"/>
  <c r="L15" i="81"/>
  <c r="L14" i="81"/>
  <c r="L13" i="81"/>
  <c r="L12" i="81"/>
  <c r="L11" i="81"/>
  <c r="L10" i="81"/>
  <c r="L9" i="81"/>
  <c r="L26" i="80"/>
  <c r="L25" i="80"/>
  <c r="L24" i="80"/>
  <c r="L23" i="80"/>
  <c r="L22" i="80"/>
  <c r="L21" i="80"/>
  <c r="L20" i="80"/>
  <c r="L19" i="80"/>
  <c r="L18" i="80"/>
  <c r="L17" i="80"/>
  <c r="L16" i="80"/>
  <c r="L15" i="80"/>
  <c r="L14" i="80"/>
  <c r="L13" i="80"/>
  <c r="L12" i="80"/>
  <c r="L11" i="80"/>
  <c r="L10" i="80"/>
  <c r="L9" i="80"/>
  <c r="L26" i="79"/>
  <c r="L25" i="79"/>
  <c r="L24" i="79"/>
  <c r="L23" i="79"/>
  <c r="L22" i="79"/>
  <c r="L21" i="79"/>
  <c r="L20" i="79"/>
  <c r="L19" i="79"/>
  <c r="L18" i="79"/>
  <c r="L17" i="79"/>
  <c r="L16" i="79"/>
  <c r="L15" i="79"/>
  <c r="L14" i="79"/>
  <c r="L13" i="79"/>
  <c r="L12" i="79"/>
  <c r="L11" i="79"/>
  <c r="L10" i="79"/>
  <c r="L9" i="79"/>
  <c r="L26" i="78"/>
  <c r="L25" i="78"/>
  <c r="L24" i="78"/>
  <c r="L23" i="78"/>
  <c r="L22" i="78"/>
  <c r="L21" i="78"/>
  <c r="L20" i="78"/>
  <c r="L19" i="78"/>
  <c r="L18" i="78"/>
  <c r="L17" i="78"/>
  <c r="L16" i="78"/>
  <c r="L15" i="78"/>
  <c r="L14" i="78"/>
  <c r="L13" i="78"/>
  <c r="L12" i="78"/>
  <c r="L11" i="78"/>
  <c r="L10" i="78"/>
  <c r="L9" i="78"/>
  <c r="L26" i="77"/>
  <c r="L25" i="77"/>
  <c r="L24" i="77"/>
  <c r="L23" i="77"/>
  <c r="L22" i="77"/>
  <c r="L21" i="77"/>
  <c r="L20" i="77"/>
  <c r="L19" i="77"/>
  <c r="L18" i="77"/>
  <c r="L17" i="77"/>
  <c r="L16" i="77"/>
  <c r="L15" i="77"/>
  <c r="L14" i="77"/>
  <c r="L13" i="77"/>
  <c r="L12" i="77"/>
  <c r="L11" i="77"/>
  <c r="L10" i="77"/>
  <c r="L9" i="77"/>
  <c r="L26" i="76"/>
  <c r="L25" i="76"/>
  <c r="L24" i="76"/>
  <c r="L23" i="76"/>
  <c r="L22" i="76"/>
  <c r="L21" i="76"/>
  <c r="L20" i="76"/>
  <c r="L19" i="76"/>
  <c r="L18" i="76"/>
  <c r="L17" i="76"/>
  <c r="L16" i="76"/>
  <c r="L15" i="76"/>
  <c r="L14" i="76"/>
  <c r="L13" i="76"/>
  <c r="L12" i="76"/>
  <c r="L11" i="76"/>
  <c r="L10" i="76"/>
  <c r="L9" i="76"/>
  <c r="L26" i="75"/>
  <c r="L25" i="75"/>
  <c r="L24" i="75"/>
  <c r="L23" i="75"/>
  <c r="L22" i="75"/>
  <c r="L21" i="75"/>
  <c r="L20" i="75"/>
  <c r="L19" i="75"/>
  <c r="L18" i="75"/>
  <c r="L17" i="75"/>
  <c r="L16" i="75"/>
  <c r="L15" i="75"/>
  <c r="L14" i="75"/>
  <c r="L13" i="75"/>
  <c r="L12" i="75"/>
  <c r="L11" i="75"/>
  <c r="L10" i="75"/>
  <c r="L9" i="75"/>
  <c r="L26" i="74"/>
  <c r="L25" i="74"/>
  <c r="L24" i="74"/>
  <c r="L23" i="74"/>
  <c r="L22" i="74"/>
  <c r="L21" i="74"/>
  <c r="L20" i="74"/>
  <c r="L19" i="74"/>
  <c r="L18" i="74"/>
  <c r="L17" i="74"/>
  <c r="L16" i="74"/>
  <c r="L15" i="74"/>
  <c r="L14" i="74"/>
  <c r="L13" i="74"/>
  <c r="L12" i="74"/>
  <c r="L11" i="74"/>
  <c r="L10" i="74"/>
  <c r="L9" i="74"/>
  <c r="L26" i="73"/>
  <c r="L25" i="73"/>
  <c r="L24" i="73"/>
  <c r="L23" i="73"/>
  <c r="L22" i="73"/>
  <c r="L21" i="73"/>
  <c r="L20" i="73"/>
  <c r="L19" i="73"/>
  <c r="L18" i="73"/>
  <c r="L17" i="73"/>
  <c r="L16" i="73"/>
  <c r="L15" i="73"/>
  <c r="L14" i="73"/>
  <c r="L13" i="73"/>
  <c r="L12" i="73"/>
  <c r="L11" i="73"/>
  <c r="L10" i="73"/>
  <c r="L9" i="73"/>
  <c r="L26" i="72"/>
  <c r="L25" i="72"/>
  <c r="L24" i="72"/>
  <c r="L23" i="72"/>
  <c r="L22" i="72"/>
  <c r="L21" i="72"/>
  <c r="L20" i="72"/>
  <c r="L19" i="72"/>
  <c r="L18" i="72"/>
  <c r="L17" i="72"/>
  <c r="L16" i="72"/>
  <c r="L15" i="72"/>
  <c r="L14" i="72"/>
  <c r="L13" i="72"/>
  <c r="L12" i="72"/>
  <c r="L11" i="72"/>
  <c r="L10" i="72"/>
  <c r="L9" i="72"/>
  <c r="L26" i="71"/>
  <c r="L25" i="71"/>
  <c r="L24" i="71"/>
  <c r="L23" i="71"/>
  <c r="L22" i="71"/>
  <c r="L21" i="71"/>
  <c r="L20" i="71"/>
  <c r="L19" i="71"/>
  <c r="L18" i="71"/>
  <c r="L17" i="71"/>
  <c r="L16" i="71"/>
  <c r="L15" i="71"/>
  <c r="L14" i="71"/>
  <c r="L13" i="71"/>
  <c r="L12" i="71"/>
  <c r="L11" i="71"/>
  <c r="L10" i="71"/>
  <c r="L9" i="71"/>
  <c r="L26" i="70"/>
  <c r="L25" i="70"/>
  <c r="L24" i="70"/>
  <c r="L23" i="70"/>
  <c r="L22" i="70"/>
  <c r="L21" i="70"/>
  <c r="L20" i="70"/>
  <c r="L19" i="70"/>
  <c r="L18" i="70"/>
  <c r="L17" i="70"/>
  <c r="L16" i="70"/>
  <c r="L15" i="70"/>
  <c r="L14" i="70"/>
  <c r="L13" i="70"/>
  <c r="L12" i="70"/>
  <c r="L11" i="70"/>
  <c r="L10" i="70"/>
  <c r="L9" i="70"/>
  <c r="L26" i="69"/>
  <c r="L25" i="69"/>
  <c r="L24" i="69"/>
  <c r="L23" i="69"/>
  <c r="L22" i="69"/>
  <c r="L21" i="69"/>
  <c r="L20" i="69"/>
  <c r="L19" i="69"/>
  <c r="L18" i="69"/>
  <c r="L17" i="69"/>
  <c r="L16" i="69"/>
  <c r="L15" i="69"/>
  <c r="L14" i="69"/>
  <c r="L13" i="69"/>
  <c r="L12" i="69"/>
  <c r="L11" i="69"/>
  <c r="L10" i="69"/>
  <c r="L9" i="69"/>
  <c r="L26" i="68"/>
  <c r="L25" i="68"/>
  <c r="L24" i="68"/>
  <c r="L23" i="68"/>
  <c r="L22" i="68"/>
  <c r="L21" i="68"/>
  <c r="L20" i="68"/>
  <c r="L19" i="68"/>
  <c r="L18" i="68"/>
  <c r="L17" i="68"/>
  <c r="L16" i="68"/>
  <c r="L15" i="68"/>
  <c r="L14" i="68"/>
  <c r="L13" i="68"/>
  <c r="L12" i="68"/>
  <c r="L11" i="68"/>
  <c r="L10" i="68"/>
  <c r="L9" i="68"/>
  <c r="L26" i="67"/>
  <c r="L25" i="67"/>
  <c r="L24" i="67"/>
  <c r="L23" i="67"/>
  <c r="L22" i="67"/>
  <c r="L21" i="67"/>
  <c r="L20" i="67"/>
  <c r="L19" i="67"/>
  <c r="L18" i="67"/>
  <c r="L17" i="67"/>
  <c r="L16" i="67"/>
  <c r="L15" i="67"/>
  <c r="L14" i="67"/>
  <c r="L13" i="67"/>
  <c r="L12" i="67"/>
  <c r="L11" i="67"/>
  <c r="L10" i="67"/>
  <c r="L9" i="67"/>
  <c r="L26" i="66"/>
  <c r="L25" i="66"/>
  <c r="L24" i="66"/>
  <c r="L23" i="66"/>
  <c r="L22" i="66"/>
  <c r="L21" i="66"/>
  <c r="L20" i="66"/>
  <c r="L19" i="66"/>
  <c r="L18" i="66"/>
  <c r="L17" i="66"/>
  <c r="L16" i="66"/>
  <c r="L15" i="66"/>
  <c r="L14" i="66"/>
  <c r="L13" i="66"/>
  <c r="L12" i="66"/>
  <c r="L11" i="66"/>
  <c r="L10" i="66"/>
  <c r="L9" i="66"/>
  <c r="L26" i="65"/>
  <c r="L25" i="65"/>
  <c r="L24" i="65"/>
  <c r="L23" i="65"/>
  <c r="L22" i="65"/>
  <c r="L21" i="65"/>
  <c r="L20" i="65"/>
  <c r="L19" i="65"/>
  <c r="L18" i="65"/>
  <c r="L17" i="65"/>
  <c r="L16" i="65"/>
  <c r="L15" i="65"/>
  <c r="L14" i="65"/>
  <c r="L13" i="65"/>
  <c r="L12" i="65"/>
  <c r="L11" i="65"/>
  <c r="L10" i="65"/>
  <c r="L9" i="65"/>
  <c r="L26" i="64"/>
  <c r="L25" i="64"/>
  <c r="L24" i="64"/>
  <c r="L23" i="64"/>
  <c r="L22" i="64"/>
  <c r="L21" i="64"/>
  <c r="L20" i="64"/>
  <c r="L19" i="64"/>
  <c r="L18" i="64"/>
  <c r="L17" i="64"/>
  <c r="L16" i="64"/>
  <c r="L15" i="64"/>
  <c r="L14" i="64"/>
  <c r="L13" i="64"/>
  <c r="L12" i="64"/>
  <c r="L11" i="64"/>
  <c r="L10" i="64"/>
  <c r="L9" i="64"/>
  <c r="L26" i="63"/>
  <c r="L25" i="63"/>
  <c r="L24" i="63"/>
  <c r="L23" i="63"/>
  <c r="L22" i="63"/>
  <c r="L21" i="63"/>
  <c r="L20" i="63"/>
  <c r="L19" i="63"/>
  <c r="L18" i="63"/>
  <c r="L17" i="63"/>
  <c r="L16" i="63"/>
  <c r="L15" i="63"/>
  <c r="L14" i="63"/>
  <c r="L13" i="63"/>
  <c r="L12" i="63"/>
  <c r="L11" i="63"/>
  <c r="L10" i="63"/>
  <c r="L9" i="63"/>
  <c r="L26" i="62"/>
  <c r="L25" i="62"/>
  <c r="L24" i="62"/>
  <c r="L23" i="62"/>
  <c r="L22" i="62"/>
  <c r="L21" i="62"/>
  <c r="L20" i="62"/>
  <c r="L19" i="62"/>
  <c r="L18" i="62"/>
  <c r="L17" i="62"/>
  <c r="L16" i="62"/>
  <c r="L15" i="62"/>
  <c r="L14" i="62"/>
  <c r="L13" i="62"/>
  <c r="L12" i="62"/>
  <c r="L11" i="62"/>
  <c r="L10" i="62"/>
  <c r="L9" i="62"/>
  <c r="K26" i="60"/>
  <c r="K25" i="60"/>
  <c r="K24" i="60"/>
  <c r="K23" i="60"/>
  <c r="K22" i="60"/>
  <c r="K21" i="60"/>
  <c r="K20" i="60"/>
  <c r="K19" i="60"/>
  <c r="K18" i="60"/>
  <c r="K17" i="60"/>
  <c r="K16" i="60"/>
  <c r="K15" i="60"/>
  <c r="K14" i="60"/>
  <c r="K13" i="60"/>
  <c r="K12" i="60"/>
  <c r="K11" i="60"/>
  <c r="K10" i="60"/>
  <c r="K9" i="60"/>
  <c r="K26" i="59"/>
  <c r="K25" i="59"/>
  <c r="K24" i="59"/>
  <c r="K23" i="59"/>
  <c r="K22" i="59"/>
  <c r="K21" i="59"/>
  <c r="K20" i="59"/>
  <c r="K19" i="59"/>
  <c r="K18" i="59"/>
  <c r="K17" i="59"/>
  <c r="K16" i="59"/>
  <c r="K15" i="59"/>
  <c r="K14" i="59"/>
  <c r="K13" i="59"/>
  <c r="K12" i="59"/>
  <c r="K11" i="59"/>
  <c r="K10" i="59"/>
  <c r="K9" i="59"/>
  <c r="K26" i="58"/>
  <c r="K25" i="58"/>
  <c r="K24" i="58"/>
  <c r="K23" i="58"/>
  <c r="K22" i="58"/>
  <c r="K21" i="58"/>
  <c r="K20" i="58"/>
  <c r="K19" i="58"/>
  <c r="K18" i="58"/>
  <c r="K17" i="58"/>
  <c r="K16" i="58"/>
  <c r="K15" i="58"/>
  <c r="K14" i="58"/>
  <c r="K13" i="58"/>
  <c r="K12" i="58"/>
  <c r="K11" i="58"/>
  <c r="K10" i="58"/>
  <c r="K9" i="58"/>
  <c r="K26" i="57"/>
  <c r="K25" i="57"/>
  <c r="K24" i="57"/>
  <c r="K23" i="57"/>
  <c r="K22" i="57"/>
  <c r="K21" i="57"/>
  <c r="K20" i="57"/>
  <c r="K19" i="57"/>
  <c r="K18" i="57"/>
  <c r="K17" i="57"/>
  <c r="K16" i="57"/>
  <c r="K15" i="57"/>
  <c r="K14" i="57"/>
  <c r="K13" i="57"/>
  <c r="K12" i="57"/>
  <c r="K11" i="57"/>
  <c r="K10" i="57"/>
  <c r="K9" i="57"/>
  <c r="K26" i="56"/>
  <c r="K25" i="56"/>
  <c r="K24" i="56"/>
  <c r="K23" i="56"/>
  <c r="K22" i="56"/>
  <c r="K21" i="56"/>
  <c r="K20" i="56"/>
  <c r="K19" i="56"/>
  <c r="K18" i="56"/>
  <c r="K17" i="56"/>
  <c r="K16" i="56"/>
  <c r="K15" i="56"/>
  <c r="K14" i="56"/>
  <c r="K13" i="56"/>
  <c r="K12" i="56"/>
  <c r="K11" i="56"/>
  <c r="K10" i="56"/>
  <c r="K9" i="56"/>
  <c r="K26" i="55"/>
  <c r="K25" i="55"/>
  <c r="K24" i="55"/>
  <c r="K23" i="55"/>
  <c r="K22" i="55"/>
  <c r="K21" i="55"/>
  <c r="K20" i="55"/>
  <c r="K19" i="55"/>
  <c r="K18" i="55"/>
  <c r="K17" i="55"/>
  <c r="K16" i="55"/>
  <c r="K15" i="55"/>
  <c r="K14" i="55"/>
  <c r="K13" i="55"/>
  <c r="K12" i="55"/>
  <c r="K11" i="55"/>
  <c r="K10" i="55"/>
  <c r="K9" i="55"/>
  <c r="K26" i="54"/>
  <c r="K25" i="54"/>
  <c r="K24" i="54"/>
  <c r="K23" i="54"/>
  <c r="K22" i="54"/>
  <c r="K21" i="54"/>
  <c r="K20" i="54"/>
  <c r="K19" i="54"/>
  <c r="K18" i="54"/>
  <c r="K17" i="54"/>
  <c r="K16" i="54"/>
  <c r="K15" i="54"/>
  <c r="K14" i="54"/>
  <c r="K13" i="54"/>
  <c r="K12" i="54"/>
  <c r="K11" i="54"/>
  <c r="K10" i="54"/>
  <c r="K9" i="54"/>
  <c r="K26" i="53"/>
  <c r="K25" i="53"/>
  <c r="K24" i="53"/>
  <c r="K23" i="53"/>
  <c r="K22" i="53"/>
  <c r="K21" i="53"/>
  <c r="K20" i="53"/>
  <c r="K19" i="53"/>
  <c r="K18" i="53"/>
  <c r="K17" i="53"/>
  <c r="K16" i="53"/>
  <c r="K15" i="53"/>
  <c r="K14" i="53"/>
  <c r="K13" i="53"/>
  <c r="K12" i="53"/>
  <c r="K11" i="53"/>
  <c r="K10" i="53"/>
  <c r="K9" i="53"/>
  <c r="K26" i="52"/>
  <c r="K25" i="52"/>
  <c r="K24" i="52"/>
  <c r="K23" i="52"/>
  <c r="K22" i="52"/>
  <c r="K21" i="52"/>
  <c r="K20" i="52"/>
  <c r="K19" i="52"/>
  <c r="K18" i="52"/>
  <c r="K17" i="52"/>
  <c r="K16" i="52"/>
  <c r="K15" i="52"/>
  <c r="K14" i="52"/>
  <c r="K13" i="52"/>
  <c r="K12" i="52"/>
  <c r="K11" i="52"/>
  <c r="K10" i="52"/>
  <c r="K9" i="52"/>
  <c r="K26" i="51"/>
  <c r="K25" i="51"/>
  <c r="K24" i="51"/>
  <c r="K23" i="51"/>
  <c r="K22" i="51"/>
  <c r="K21" i="51"/>
  <c r="K20" i="51"/>
  <c r="K19" i="51"/>
  <c r="K18" i="51"/>
  <c r="K17" i="51"/>
  <c r="K16" i="51"/>
  <c r="K15" i="51"/>
  <c r="K14" i="51"/>
  <c r="K13" i="51"/>
  <c r="K12" i="51"/>
  <c r="K11" i="51"/>
  <c r="K10" i="51"/>
  <c r="K9" i="51"/>
  <c r="K26" i="50"/>
  <c r="K25" i="50"/>
  <c r="K24" i="50"/>
  <c r="K23" i="50"/>
  <c r="K22" i="50"/>
  <c r="K21" i="50"/>
  <c r="K20" i="50"/>
  <c r="K19" i="50"/>
  <c r="K18" i="50"/>
  <c r="K17" i="50"/>
  <c r="K16" i="50"/>
  <c r="K15" i="50"/>
  <c r="K14" i="50"/>
  <c r="K13" i="50"/>
  <c r="K12" i="50"/>
  <c r="K11" i="50"/>
  <c r="K10" i="50"/>
  <c r="K9" i="50"/>
  <c r="K26" i="49"/>
  <c r="K25" i="49"/>
  <c r="K24" i="49"/>
  <c r="K23" i="49"/>
  <c r="K22" i="49"/>
  <c r="K21" i="49"/>
  <c r="K20" i="49"/>
  <c r="K19" i="49"/>
  <c r="K18" i="49"/>
  <c r="K17" i="49"/>
  <c r="K16" i="49"/>
  <c r="K15" i="49"/>
  <c r="K14" i="49"/>
  <c r="K13" i="49"/>
  <c r="K12" i="49"/>
  <c r="K11" i="49"/>
  <c r="K10" i="49"/>
  <c r="K9" i="49"/>
  <c r="K26" i="48"/>
  <c r="K25" i="48"/>
  <c r="K24" i="48"/>
  <c r="K23" i="48"/>
  <c r="K22" i="48"/>
  <c r="K21" i="48"/>
  <c r="K20" i="48"/>
  <c r="K19" i="48"/>
  <c r="K18" i="48"/>
  <c r="K17" i="48"/>
  <c r="K16" i="48"/>
  <c r="K15" i="48"/>
  <c r="K14" i="48"/>
  <c r="K13" i="48"/>
  <c r="K12" i="48"/>
  <c r="K11" i="48"/>
  <c r="K10" i="48"/>
  <c r="K9" i="48"/>
  <c r="K26" i="47"/>
  <c r="K25" i="47"/>
  <c r="K24" i="47"/>
  <c r="K23" i="47"/>
  <c r="K22" i="47"/>
  <c r="K21" i="47"/>
  <c r="K20" i="47"/>
  <c r="K19" i="47"/>
  <c r="K18" i="47"/>
  <c r="K17" i="47"/>
  <c r="K16" i="47"/>
  <c r="K15" i="47"/>
  <c r="K14" i="47"/>
  <c r="K13" i="47"/>
  <c r="K12" i="47"/>
  <c r="K11" i="47"/>
  <c r="K10" i="47"/>
  <c r="K9" i="47"/>
  <c r="K26" i="46"/>
  <c r="K25" i="46"/>
  <c r="K24" i="46"/>
  <c r="K23" i="46"/>
  <c r="K22" i="46"/>
  <c r="K21" i="46"/>
  <c r="K20" i="46"/>
  <c r="K19" i="46"/>
  <c r="K18" i="46"/>
  <c r="K17" i="46"/>
  <c r="K16" i="46"/>
  <c r="K15" i="46"/>
  <c r="K14" i="46"/>
  <c r="K13" i="46"/>
  <c r="K12" i="46"/>
  <c r="K11" i="46"/>
  <c r="K10" i="46"/>
  <c r="K9" i="46"/>
  <c r="K26" i="45"/>
  <c r="K25" i="45"/>
  <c r="K24" i="45"/>
  <c r="K23" i="45"/>
  <c r="K22" i="45"/>
  <c r="K21" i="45"/>
  <c r="K20" i="45"/>
  <c r="K19" i="45"/>
  <c r="K18" i="45"/>
  <c r="K17" i="45"/>
  <c r="K16" i="45"/>
  <c r="K15" i="45"/>
  <c r="K14" i="45"/>
  <c r="K13" i="45"/>
  <c r="K12" i="45"/>
  <c r="K11" i="45"/>
  <c r="K10" i="45"/>
  <c r="K9" i="45"/>
  <c r="K26" i="44"/>
  <c r="K25" i="44"/>
  <c r="K24" i="44"/>
  <c r="K23" i="44"/>
  <c r="K22" i="44"/>
  <c r="K21" i="44"/>
  <c r="K20" i="44"/>
  <c r="K19" i="44"/>
  <c r="K18" i="44"/>
  <c r="K17" i="44"/>
  <c r="K16" i="44"/>
  <c r="K15" i="44"/>
  <c r="K14" i="44"/>
  <c r="K13" i="44"/>
  <c r="K12" i="44"/>
  <c r="K11" i="44"/>
  <c r="K10" i="44"/>
  <c r="K9" i="44"/>
  <c r="K26" i="43"/>
  <c r="K25" i="43"/>
  <c r="K24" i="43"/>
  <c r="K23" i="43"/>
  <c r="K22" i="43"/>
  <c r="K21" i="43"/>
  <c r="K20" i="43"/>
  <c r="K19" i="43"/>
  <c r="K18" i="43"/>
  <c r="K17" i="43"/>
  <c r="K16" i="43"/>
  <c r="K15" i="43"/>
  <c r="K14" i="43"/>
  <c r="K13" i="43"/>
  <c r="K12" i="43"/>
  <c r="K11" i="43"/>
  <c r="K10" i="43"/>
  <c r="K9" i="43"/>
  <c r="K26" i="42"/>
  <c r="K25" i="42"/>
  <c r="K24" i="42"/>
  <c r="K23" i="42"/>
  <c r="K22" i="42"/>
  <c r="K21" i="42"/>
  <c r="K20" i="42"/>
  <c r="K19" i="42"/>
  <c r="K18" i="42"/>
  <c r="K17" i="42"/>
  <c r="K16" i="42"/>
  <c r="K15" i="42"/>
  <c r="K14" i="42"/>
  <c r="K13" i="42"/>
  <c r="K12" i="42"/>
  <c r="K11" i="42"/>
  <c r="K10" i="42"/>
  <c r="K9" i="42"/>
  <c r="K26" i="41"/>
  <c r="K25" i="41"/>
  <c r="K24" i="41"/>
  <c r="K23" i="41"/>
  <c r="K22" i="41"/>
  <c r="K21" i="41"/>
  <c r="K20" i="41"/>
  <c r="K19" i="41"/>
  <c r="K18" i="41"/>
  <c r="K17" i="41"/>
  <c r="K16" i="41"/>
  <c r="K15" i="41"/>
  <c r="K14" i="41"/>
  <c r="K13" i="41"/>
  <c r="K12" i="41"/>
  <c r="K11" i="41"/>
  <c r="K10" i="41"/>
  <c r="K9" i="41"/>
  <c r="K26" i="40"/>
  <c r="K25" i="40"/>
  <c r="K24" i="40"/>
  <c r="K23" i="40"/>
  <c r="K22" i="40"/>
  <c r="K21" i="40"/>
  <c r="K20" i="40"/>
  <c r="K19" i="40"/>
  <c r="K18" i="40"/>
  <c r="K17" i="40"/>
  <c r="K16" i="40"/>
  <c r="K15" i="40"/>
  <c r="K14" i="40"/>
  <c r="K13" i="40"/>
  <c r="K12" i="40"/>
  <c r="K11" i="40"/>
  <c r="K10" i="40"/>
  <c r="K9" i="40"/>
  <c r="K26" i="39"/>
  <c r="K25" i="39"/>
  <c r="K24" i="39"/>
  <c r="K23" i="39"/>
  <c r="K22" i="39"/>
  <c r="K21" i="39"/>
  <c r="K20" i="39"/>
  <c r="K19" i="39"/>
  <c r="K18" i="39"/>
  <c r="K17" i="39"/>
  <c r="K16" i="39"/>
  <c r="K15" i="39"/>
  <c r="K14" i="39"/>
  <c r="K13" i="39"/>
  <c r="K12" i="39"/>
  <c r="K11" i="39"/>
  <c r="K10" i="39"/>
  <c r="K9" i="39"/>
  <c r="K26" i="38"/>
  <c r="K25" i="38"/>
  <c r="K24" i="38"/>
  <c r="K23" i="38"/>
  <c r="K22" i="38"/>
  <c r="K21" i="38"/>
  <c r="K20" i="38"/>
  <c r="K19" i="38"/>
  <c r="K18" i="38"/>
  <c r="K17" i="38"/>
  <c r="K16" i="38"/>
  <c r="K15" i="38"/>
  <c r="K14" i="38"/>
  <c r="K13" i="38"/>
  <c r="K12" i="38"/>
  <c r="K11" i="38"/>
  <c r="K10" i="38"/>
  <c r="K9" i="38"/>
  <c r="K26" i="37"/>
  <c r="K25" i="37"/>
  <c r="K24" i="37"/>
  <c r="K23" i="37"/>
  <c r="K22" i="37"/>
  <c r="K21" i="37"/>
  <c r="K20" i="37"/>
  <c r="K19" i="37"/>
  <c r="K18" i="37"/>
  <c r="K17" i="37"/>
  <c r="K16" i="37"/>
  <c r="K15" i="37"/>
  <c r="K14" i="37"/>
  <c r="K13" i="37"/>
  <c r="K12" i="37"/>
  <c r="K11" i="37"/>
  <c r="K10" i="37"/>
  <c r="K9" i="37"/>
  <c r="K26" i="36"/>
  <c r="K25" i="36"/>
  <c r="K24" i="36"/>
  <c r="K23" i="36"/>
  <c r="K22" i="36"/>
  <c r="K21" i="36"/>
  <c r="K20" i="36"/>
  <c r="K19" i="36"/>
  <c r="K18" i="36"/>
  <c r="K17" i="36"/>
  <c r="K16" i="36"/>
  <c r="K15" i="36"/>
  <c r="K14" i="36"/>
  <c r="K13" i="36"/>
  <c r="K12" i="36"/>
  <c r="K11" i="36"/>
  <c r="K10" i="36"/>
  <c r="K9" i="36"/>
  <c r="G43" i="152" l="1"/>
  <c r="G42" i="152"/>
  <c r="G41" i="152"/>
  <c r="G40" i="152"/>
  <c r="G39" i="152"/>
  <c r="G38" i="152"/>
  <c r="G37" i="152"/>
  <c r="G36" i="152"/>
  <c r="G35" i="152"/>
  <c r="G34" i="152"/>
  <c r="I17" i="153"/>
  <c r="H21" i="129"/>
  <c r="G21" i="129"/>
  <c r="H21" i="128"/>
  <c r="G21" i="128"/>
  <c r="I42" i="126"/>
  <c r="I47" i="126" s="1"/>
  <c r="L40" i="126"/>
  <c r="L30" i="126"/>
  <c r="L20" i="126"/>
  <c r="I11" i="110"/>
  <c r="J20" i="108"/>
  <c r="H41" i="107"/>
  <c r="H20" i="107"/>
  <c r="G38" i="106"/>
  <c r="H38" i="106"/>
  <c r="K26" i="102"/>
  <c r="K25" i="102"/>
  <c r="K24" i="102"/>
  <c r="K23" i="102"/>
  <c r="K22" i="102"/>
  <c r="K21" i="102"/>
  <c r="K20" i="102"/>
  <c r="K19" i="102"/>
  <c r="K18" i="102"/>
  <c r="K17" i="102"/>
  <c r="K16" i="102"/>
  <c r="K15" i="102"/>
  <c r="K14" i="102"/>
  <c r="K13" i="102"/>
  <c r="K12" i="102"/>
  <c r="K11" i="102"/>
  <c r="K10" i="102"/>
  <c r="K9" i="102"/>
  <c r="K8" i="102"/>
  <c r="L26" i="61"/>
  <c r="L25" i="61"/>
  <c r="L24" i="61"/>
  <c r="L23" i="61"/>
  <c r="L22" i="61"/>
  <c r="L21" i="61"/>
  <c r="L20" i="61"/>
  <c r="L19" i="61"/>
  <c r="L18" i="61"/>
  <c r="L17" i="61"/>
  <c r="L16" i="61"/>
  <c r="L15" i="61"/>
  <c r="L14" i="61"/>
  <c r="L13" i="61"/>
  <c r="L12" i="61"/>
  <c r="L11" i="61"/>
  <c r="L10" i="61"/>
  <c r="L9" i="61"/>
  <c r="L8" i="61"/>
  <c r="K26" i="35"/>
  <c r="K25" i="35"/>
  <c r="K24" i="35"/>
  <c r="K23" i="35"/>
  <c r="K22" i="35"/>
  <c r="K21" i="35"/>
  <c r="K20" i="35"/>
  <c r="K19" i="35"/>
  <c r="K18" i="35"/>
  <c r="K17" i="35"/>
  <c r="K16" i="35"/>
  <c r="K15" i="35"/>
  <c r="K14" i="35"/>
  <c r="K13" i="35"/>
  <c r="K12" i="35"/>
  <c r="K11" i="35"/>
  <c r="K10" i="35"/>
  <c r="K9" i="35"/>
  <c r="K8" i="35"/>
  <c r="G40" i="13" l="1"/>
  <c r="H40" i="13"/>
  <c r="H11" i="11"/>
  <c r="I20" i="8"/>
  <c r="F39" i="5"/>
  <c r="B39" i="5"/>
  <c r="H39" i="5"/>
  <c r="L38" i="5"/>
  <c r="B38" i="5"/>
  <c r="B42" i="293"/>
  <c r="B34" i="293"/>
  <c r="B41" i="292"/>
  <c r="B35" i="292"/>
  <c r="B24" i="292"/>
  <c r="B8" i="292"/>
  <c r="K4" i="291"/>
  <c r="E4" i="291"/>
  <c r="K4" i="290"/>
  <c r="E4" i="290"/>
  <c r="K4" i="289"/>
  <c r="E4" i="289"/>
  <c r="K4" i="288"/>
  <c r="E4" i="288"/>
  <c r="K4" i="287"/>
  <c r="E4" i="287"/>
  <c r="B41" i="269"/>
  <c r="B35" i="269"/>
  <c r="B24" i="269"/>
  <c r="B8" i="269"/>
  <c r="B41" i="246"/>
  <c r="B35" i="246"/>
  <c r="B24" i="246"/>
  <c r="B8" i="246"/>
  <c r="B41" i="223"/>
  <c r="B35" i="223"/>
  <c r="B24" i="223"/>
  <c r="B8" i="223"/>
  <c r="B41" i="200"/>
  <c r="B35" i="200"/>
  <c r="B24" i="200"/>
  <c r="B8" i="200"/>
  <c r="J36" i="108" l="1"/>
  <c r="J39" i="108" s="1"/>
  <c r="K4" i="268"/>
  <c r="E4" i="268"/>
  <c r="K4" i="267"/>
  <c r="E4" i="267"/>
  <c r="K4" i="266"/>
  <c r="E4" i="266"/>
  <c r="K4" i="265"/>
  <c r="E4" i="265"/>
  <c r="K4" i="245" l="1"/>
  <c r="E4" i="245"/>
  <c r="K4" i="244"/>
  <c r="E4" i="244"/>
  <c r="K4" i="243"/>
  <c r="E4" i="243"/>
  <c r="K4" i="242"/>
  <c r="E4" i="242"/>
  <c r="K4" i="222"/>
  <c r="K4" i="221"/>
  <c r="E4" i="221"/>
  <c r="K4" i="220"/>
  <c r="E4" i="220"/>
  <c r="K4" i="219"/>
  <c r="E4" i="219"/>
  <c r="K4" i="199"/>
  <c r="E4" i="199"/>
  <c r="K4" i="198"/>
  <c r="K4" i="197"/>
  <c r="E4" i="197"/>
  <c r="K4" i="196"/>
  <c r="E4" i="196"/>
  <c r="K4" i="176"/>
  <c r="E4" i="176"/>
  <c r="K4" i="175"/>
  <c r="E4" i="175"/>
  <c r="K4" i="174"/>
  <c r="E4" i="174"/>
  <c r="K4" i="173"/>
  <c r="E4" i="173"/>
  <c r="H41" i="283"/>
  <c r="G41" i="283"/>
  <c r="B31" i="283"/>
  <c r="B29" i="283"/>
  <c r="I28" i="283"/>
  <c r="I30" i="283" s="1"/>
  <c r="K32" i="283" s="1"/>
  <c r="H23" i="283"/>
  <c r="G22" i="283"/>
  <c r="G23" i="283" s="1"/>
  <c r="B22" i="283"/>
  <c r="B17" i="283"/>
  <c r="H12" i="283"/>
  <c r="G11" i="283"/>
  <c r="G12" i="283" s="1"/>
  <c r="B11" i="283"/>
  <c r="B7" i="283"/>
  <c r="H41" i="260"/>
  <c r="G41" i="260"/>
  <c r="B31" i="260"/>
  <c r="B29" i="260"/>
  <c r="I28" i="260"/>
  <c r="I30" i="260" s="1"/>
  <c r="K32" i="260" s="1"/>
  <c r="H23" i="260"/>
  <c r="G22" i="260"/>
  <c r="G23" i="260" s="1"/>
  <c r="B22" i="260"/>
  <c r="B17" i="260"/>
  <c r="H12" i="260"/>
  <c r="G11" i="260"/>
  <c r="G12" i="260" s="1"/>
  <c r="B11" i="260"/>
  <c r="B7" i="260"/>
  <c r="H41" i="237"/>
  <c r="G41" i="237"/>
  <c r="B31" i="237"/>
  <c r="B29" i="237"/>
  <c r="I28" i="237"/>
  <c r="I30" i="237" s="1"/>
  <c r="K32" i="237" s="1"/>
  <c r="H23" i="237"/>
  <c r="G22" i="237"/>
  <c r="G23" i="237" s="1"/>
  <c r="B22" i="237"/>
  <c r="B17" i="237"/>
  <c r="H12" i="237"/>
  <c r="G11" i="237"/>
  <c r="G12" i="237" s="1"/>
  <c r="B11" i="237"/>
  <c r="B7" i="237"/>
  <c r="H41" i="214"/>
  <c r="G41" i="214"/>
  <c r="B31" i="214"/>
  <c r="B29" i="214"/>
  <c r="I28" i="214"/>
  <c r="I30" i="214" s="1"/>
  <c r="K32" i="214" s="1"/>
  <c r="H23" i="214"/>
  <c r="G22" i="214"/>
  <c r="G23" i="214" s="1"/>
  <c r="B22" i="214"/>
  <c r="B17" i="214"/>
  <c r="H12" i="214"/>
  <c r="G11" i="214"/>
  <c r="G12" i="214" s="1"/>
  <c r="B11" i="214"/>
  <c r="B7" i="214"/>
  <c r="H41" i="191"/>
  <c r="G41" i="191"/>
  <c r="B31" i="191"/>
  <c r="B29" i="191"/>
  <c r="I28" i="191"/>
  <c r="I30" i="191" s="1"/>
  <c r="K32" i="191" s="1"/>
  <c r="H23" i="191"/>
  <c r="G22" i="191"/>
  <c r="G23" i="191" s="1"/>
  <c r="B22" i="191"/>
  <c r="B17" i="191"/>
  <c r="H12" i="191"/>
  <c r="G11" i="191"/>
  <c r="G12" i="191" s="1"/>
  <c r="B11" i="191"/>
  <c r="B7" i="191"/>
  <c r="H41" i="168"/>
  <c r="G41" i="168"/>
  <c r="B31" i="168"/>
  <c r="B29" i="168"/>
  <c r="I28" i="168"/>
  <c r="I30" i="168" s="1"/>
  <c r="K32" i="168" s="1"/>
  <c r="H23" i="168"/>
  <c r="G22" i="168"/>
  <c r="G23" i="168" s="1"/>
  <c r="B22" i="168"/>
  <c r="B17" i="168"/>
  <c r="H12" i="168"/>
  <c r="G11" i="168"/>
  <c r="G12" i="168" s="1"/>
  <c r="B11" i="168"/>
  <c r="B7" i="168"/>
  <c r="J5" i="285"/>
  <c r="J5" i="262"/>
  <c r="J5" i="239"/>
  <c r="J5" i="193"/>
  <c r="J5" i="216"/>
  <c r="J5" i="170"/>
  <c r="J5" i="284"/>
  <c r="J5" i="261"/>
  <c r="J5" i="238"/>
  <c r="J5" i="215"/>
  <c r="J5" i="169"/>
  <c r="J5" i="192"/>
  <c r="J19" i="161" l="1"/>
  <c r="J18" i="161"/>
  <c r="L12" i="129"/>
  <c r="L13" i="129"/>
  <c r="L14" i="129"/>
  <c r="L15" i="129"/>
  <c r="L16" i="129"/>
  <c r="L17" i="129"/>
  <c r="L18" i="129"/>
  <c r="L19" i="129"/>
  <c r="L20" i="129"/>
  <c r="L11" i="129"/>
  <c r="L10" i="129"/>
  <c r="L12" i="128"/>
  <c r="L13" i="128"/>
  <c r="L14" i="128"/>
  <c r="L15" i="128"/>
  <c r="L16" i="128"/>
  <c r="L17" i="128"/>
  <c r="L18" i="128"/>
  <c r="L19" i="128"/>
  <c r="L20" i="128"/>
  <c r="L11" i="128"/>
  <c r="L10" i="128"/>
  <c r="I17" i="124"/>
  <c r="I20" i="124" s="1"/>
  <c r="H21" i="109"/>
  <c r="J12" i="109"/>
  <c r="J13" i="109"/>
  <c r="G9" i="27"/>
  <c r="L23" i="26"/>
  <c r="L24" i="26"/>
  <c r="L25" i="26"/>
  <c r="L22" i="26"/>
  <c r="L16" i="26"/>
  <c r="L17" i="26"/>
  <c r="L18" i="26"/>
  <c r="L19" i="26"/>
  <c r="L20" i="26"/>
  <c r="L15" i="26"/>
  <c r="L10" i="26"/>
  <c r="L11" i="26"/>
  <c r="L12" i="26"/>
  <c r="L13" i="26"/>
  <c r="L9" i="26"/>
  <c r="L21" i="129" l="1"/>
  <c r="H31" i="179"/>
  <c r="H39" i="179" s="1"/>
  <c r="L39" i="186" s="1"/>
  <c r="H31" i="202"/>
  <c r="H31" i="225"/>
  <c r="H31" i="248"/>
  <c r="H31" i="271"/>
  <c r="J43" i="270"/>
  <c r="H42" i="250"/>
  <c r="B42" i="270"/>
  <c r="B34" i="270"/>
  <c r="J22" i="270"/>
  <c r="I22" i="270"/>
  <c r="H22" i="270"/>
  <c r="G22" i="270"/>
  <c r="J43" i="247"/>
  <c r="B42" i="247"/>
  <c r="B34" i="247"/>
  <c r="J22" i="247"/>
  <c r="I22" i="247"/>
  <c r="H22" i="247"/>
  <c r="G22" i="247"/>
  <c r="J43" i="224"/>
  <c r="B42" i="224"/>
  <c r="B34" i="224"/>
  <c r="J22" i="224"/>
  <c r="I22" i="224"/>
  <c r="H22" i="224"/>
  <c r="G22" i="224"/>
  <c r="J43" i="201"/>
  <c r="B42" i="201"/>
  <c r="B34" i="201"/>
  <c r="J22" i="201"/>
  <c r="I22" i="201"/>
  <c r="H22" i="201"/>
  <c r="G22" i="201"/>
  <c r="J42" i="200"/>
  <c r="I42" i="200"/>
  <c r="J25" i="200"/>
  <c r="J42" i="223"/>
  <c r="I42" i="223"/>
  <c r="J25" i="223"/>
  <c r="J42" i="246"/>
  <c r="I42" i="246"/>
  <c r="J25" i="246"/>
  <c r="J42" i="269"/>
  <c r="I42" i="269"/>
  <c r="J25" i="269"/>
  <c r="L27" i="264"/>
  <c r="H23" i="250" s="1"/>
  <c r="K27" i="264"/>
  <c r="H22" i="250" s="1"/>
  <c r="J27" i="264"/>
  <c r="J9" i="265" s="1"/>
  <c r="J27" i="265" s="1"/>
  <c r="J9" i="266" s="1"/>
  <c r="J27" i="266" s="1"/>
  <c r="J9" i="267" s="1"/>
  <c r="J27" i="267" s="1"/>
  <c r="J9" i="268" s="1"/>
  <c r="J27" i="268" s="1"/>
  <c r="I27" i="264"/>
  <c r="I9" i="265" s="1"/>
  <c r="I27" i="265" s="1"/>
  <c r="I9" i="266" s="1"/>
  <c r="I27" i="266" s="1"/>
  <c r="I9" i="267" s="1"/>
  <c r="I27" i="267" s="1"/>
  <c r="I9" i="268" s="1"/>
  <c r="I27" i="268" s="1"/>
  <c r="H27" i="264"/>
  <c r="H9" i="265" s="1"/>
  <c r="H27" i="265" s="1"/>
  <c r="H9" i="266" s="1"/>
  <c r="H27" i="266" s="1"/>
  <c r="H9" i="267" s="1"/>
  <c r="H27" i="267" s="1"/>
  <c r="H9" i="268" s="1"/>
  <c r="H27" i="268" s="1"/>
  <c r="G27" i="264"/>
  <c r="G9" i="265" s="1"/>
  <c r="G27" i="265" s="1"/>
  <c r="G9" i="266" s="1"/>
  <c r="G27" i="266" s="1"/>
  <c r="G9" i="267" s="1"/>
  <c r="G27" i="267" s="1"/>
  <c r="G9" i="268" s="1"/>
  <c r="G27" i="268" s="1"/>
  <c r="F27" i="264"/>
  <c r="F9" i="265" s="1"/>
  <c r="F27" i="265" s="1"/>
  <c r="F9" i="266" s="1"/>
  <c r="F27" i="266" s="1"/>
  <c r="F9" i="267" s="1"/>
  <c r="F27" i="267" s="1"/>
  <c r="F9" i="268" s="1"/>
  <c r="F27" i="268" s="1"/>
  <c r="E27" i="264"/>
  <c r="E9" i="265" s="1"/>
  <c r="E27" i="265" s="1"/>
  <c r="E9" i="266" s="1"/>
  <c r="E27" i="266" s="1"/>
  <c r="E9" i="267" s="1"/>
  <c r="E27" i="267" s="1"/>
  <c r="E9" i="268" s="1"/>
  <c r="E27" i="268" s="1"/>
  <c r="K4" i="264"/>
  <c r="E4" i="264"/>
  <c r="L27" i="241"/>
  <c r="K27" i="241"/>
  <c r="J27" i="241"/>
  <c r="J9" i="242" s="1"/>
  <c r="J27" i="242" s="1"/>
  <c r="J9" i="243" s="1"/>
  <c r="J27" i="243" s="1"/>
  <c r="J9" i="244" s="1"/>
  <c r="J27" i="244" s="1"/>
  <c r="J9" i="245" s="1"/>
  <c r="J27" i="245" s="1"/>
  <c r="I27" i="241"/>
  <c r="I9" i="242" s="1"/>
  <c r="I27" i="242" s="1"/>
  <c r="I9" i="243" s="1"/>
  <c r="I27" i="243" s="1"/>
  <c r="I9" i="244" s="1"/>
  <c r="I27" i="244" s="1"/>
  <c r="I9" i="245" s="1"/>
  <c r="I27" i="245" s="1"/>
  <c r="H27" i="241"/>
  <c r="H9" i="242" s="1"/>
  <c r="H27" i="242" s="1"/>
  <c r="H9" i="243" s="1"/>
  <c r="H27" i="243" s="1"/>
  <c r="H9" i="244" s="1"/>
  <c r="H27" i="244" s="1"/>
  <c r="H9" i="245" s="1"/>
  <c r="H27" i="245" s="1"/>
  <c r="G27" i="241"/>
  <c r="G9" i="242" s="1"/>
  <c r="G27" i="242" s="1"/>
  <c r="G9" i="243" s="1"/>
  <c r="G27" i="243" s="1"/>
  <c r="G9" i="244" s="1"/>
  <c r="G27" i="244" s="1"/>
  <c r="G9" i="245" s="1"/>
  <c r="G27" i="245" s="1"/>
  <c r="F27" i="241"/>
  <c r="F9" i="242" s="1"/>
  <c r="F27" i="242" s="1"/>
  <c r="F9" i="243" s="1"/>
  <c r="F27" i="243" s="1"/>
  <c r="F9" i="244" s="1"/>
  <c r="F27" i="244" s="1"/>
  <c r="F9" i="245" s="1"/>
  <c r="F27" i="245" s="1"/>
  <c r="E27" i="241"/>
  <c r="E9" i="242" s="1"/>
  <c r="E27" i="242" s="1"/>
  <c r="E9" i="243" s="1"/>
  <c r="K4" i="241"/>
  <c r="E4" i="241"/>
  <c r="L27" i="218"/>
  <c r="H23" i="204" s="1"/>
  <c r="K27" i="218"/>
  <c r="H22" i="204" s="1"/>
  <c r="J27" i="218"/>
  <c r="J9" i="219" s="1"/>
  <c r="J27" i="219" s="1"/>
  <c r="J9" i="220" s="1"/>
  <c r="J27" i="220" s="1"/>
  <c r="J9" i="221" s="1"/>
  <c r="J27" i="221" s="1"/>
  <c r="J9" i="222" s="1"/>
  <c r="J27" i="222" s="1"/>
  <c r="I27" i="218"/>
  <c r="I9" i="219" s="1"/>
  <c r="I27" i="219" s="1"/>
  <c r="I9" i="220" s="1"/>
  <c r="I27" i="220" s="1"/>
  <c r="I9" i="221" s="1"/>
  <c r="I27" i="221" s="1"/>
  <c r="I9" i="222" s="1"/>
  <c r="I27" i="222" s="1"/>
  <c r="H27" i="218"/>
  <c r="H9" i="219" s="1"/>
  <c r="H27" i="219" s="1"/>
  <c r="H9" i="220" s="1"/>
  <c r="H27" i="220" s="1"/>
  <c r="H9" i="221" s="1"/>
  <c r="H27" i="221" s="1"/>
  <c r="H9" i="222" s="1"/>
  <c r="H27" i="222" s="1"/>
  <c r="G27" i="218"/>
  <c r="G9" i="219" s="1"/>
  <c r="G27" i="219" s="1"/>
  <c r="G9" i="220" s="1"/>
  <c r="G27" i="220" s="1"/>
  <c r="G9" i="221" s="1"/>
  <c r="G27" i="221" s="1"/>
  <c r="G9" i="222" s="1"/>
  <c r="G27" i="222" s="1"/>
  <c r="F27" i="218"/>
  <c r="F9" i="219" s="1"/>
  <c r="F27" i="219" s="1"/>
  <c r="F9" i="220" s="1"/>
  <c r="F27" i="220" s="1"/>
  <c r="F9" i="221" s="1"/>
  <c r="F27" i="221" s="1"/>
  <c r="F9" i="222" s="1"/>
  <c r="F27" i="222" s="1"/>
  <c r="E27" i="218"/>
  <c r="E9" i="219" s="1"/>
  <c r="E27" i="219" s="1"/>
  <c r="E9" i="220" s="1"/>
  <c r="E27" i="220" s="1"/>
  <c r="E9" i="221" s="1"/>
  <c r="E27" i="221" s="1"/>
  <c r="E9" i="222" s="1"/>
  <c r="E27" i="222" s="1"/>
  <c r="K4" i="218"/>
  <c r="E4" i="218"/>
  <c r="L27" i="195"/>
  <c r="K27" i="195"/>
  <c r="J27" i="195"/>
  <c r="J9" i="196" s="1"/>
  <c r="J27" i="196" s="1"/>
  <c r="J9" i="197" s="1"/>
  <c r="J27" i="197" s="1"/>
  <c r="I27" i="195"/>
  <c r="I9" i="196" s="1"/>
  <c r="I27" i="196" s="1"/>
  <c r="I9" i="197" s="1"/>
  <c r="I27" i="197" s="1"/>
  <c r="H27" i="195"/>
  <c r="H9" i="196" s="1"/>
  <c r="H27" i="196" s="1"/>
  <c r="H9" i="197" s="1"/>
  <c r="H27" i="197" s="1"/>
  <c r="G27" i="195"/>
  <c r="G9" i="196" s="1"/>
  <c r="G27" i="196" s="1"/>
  <c r="G9" i="197" s="1"/>
  <c r="G27" i="197" s="1"/>
  <c r="F27" i="195"/>
  <c r="F9" i="196" s="1"/>
  <c r="F27" i="196" s="1"/>
  <c r="F9" i="197" s="1"/>
  <c r="F27" i="197" s="1"/>
  <c r="E27" i="195"/>
  <c r="E9" i="196" s="1"/>
  <c r="E27" i="196" s="1"/>
  <c r="E9" i="197" s="1"/>
  <c r="E27" i="197" s="1"/>
  <c r="K4" i="195"/>
  <c r="E4" i="195"/>
  <c r="I23" i="194"/>
  <c r="H23" i="194"/>
  <c r="G23" i="194"/>
  <c r="H19" i="181" s="1"/>
  <c r="I23" i="217"/>
  <c r="H23" i="217"/>
  <c r="G23" i="217"/>
  <c r="H19" i="204" s="1"/>
  <c r="I23" i="240"/>
  <c r="H23" i="240"/>
  <c r="G23" i="240"/>
  <c r="H19" i="227" s="1"/>
  <c r="I23" i="263"/>
  <c r="H23" i="263"/>
  <c r="G23" i="263"/>
  <c r="H19" i="250" s="1"/>
  <c r="K23" i="193"/>
  <c r="J23" i="193"/>
  <c r="G23" i="193"/>
  <c r="H38" i="182" s="1"/>
  <c r="E23" i="193"/>
  <c r="K23" i="216"/>
  <c r="J23" i="216"/>
  <c r="G23" i="216"/>
  <c r="H38" i="205" s="1"/>
  <c r="E23" i="216"/>
  <c r="K23" i="239"/>
  <c r="J23" i="239"/>
  <c r="G23" i="239"/>
  <c r="H38" i="228" s="1"/>
  <c r="E23" i="239"/>
  <c r="K23" i="262"/>
  <c r="J23" i="262"/>
  <c r="G23" i="262"/>
  <c r="H38" i="251" s="1"/>
  <c r="E23" i="262"/>
  <c r="J43" i="293"/>
  <c r="J22" i="293"/>
  <c r="I22" i="293"/>
  <c r="H22" i="293"/>
  <c r="G22" i="293"/>
  <c r="J42" i="292"/>
  <c r="I42" i="292"/>
  <c r="J25" i="292"/>
  <c r="L27" i="287"/>
  <c r="H23" i="273" s="1"/>
  <c r="K27" i="287"/>
  <c r="H22" i="273" s="1"/>
  <c r="J27" i="287"/>
  <c r="J9" i="288" s="1"/>
  <c r="J27" i="288" s="1"/>
  <c r="J9" i="289" s="1"/>
  <c r="J27" i="289" s="1"/>
  <c r="J9" i="290" s="1"/>
  <c r="J27" i="290" s="1"/>
  <c r="J9" i="291" s="1"/>
  <c r="J27" i="291" s="1"/>
  <c r="I27" i="287"/>
  <c r="I9" i="288" s="1"/>
  <c r="I27" i="288" s="1"/>
  <c r="I9" i="289" s="1"/>
  <c r="I27" i="289" s="1"/>
  <c r="I9" i="290" s="1"/>
  <c r="I27" i="290" s="1"/>
  <c r="I9" i="291" s="1"/>
  <c r="I27" i="291" s="1"/>
  <c r="H27" i="287"/>
  <c r="H9" i="288" s="1"/>
  <c r="H27" i="288" s="1"/>
  <c r="H9" i="289" s="1"/>
  <c r="H27" i="289" s="1"/>
  <c r="H9" i="290" s="1"/>
  <c r="H27" i="290" s="1"/>
  <c r="H9" i="291" s="1"/>
  <c r="H27" i="291" s="1"/>
  <c r="G27" i="287"/>
  <c r="G9" i="288" s="1"/>
  <c r="G27" i="288" s="1"/>
  <c r="G9" i="289" s="1"/>
  <c r="G27" i="289" s="1"/>
  <c r="G9" i="290" s="1"/>
  <c r="G27" i="290" s="1"/>
  <c r="G9" i="291" s="1"/>
  <c r="G27" i="291" s="1"/>
  <c r="F27" i="287"/>
  <c r="F9" i="288" s="1"/>
  <c r="F27" i="288" s="1"/>
  <c r="F9" i="289" s="1"/>
  <c r="F27" i="289" s="1"/>
  <c r="F9" i="290" s="1"/>
  <c r="F27" i="290" s="1"/>
  <c r="F9" i="291" s="1"/>
  <c r="F27" i="291" s="1"/>
  <c r="E27" i="287"/>
  <c r="E9" i="288" s="1"/>
  <c r="E27" i="288" s="1"/>
  <c r="E9" i="289" s="1"/>
  <c r="E27" i="289" s="1"/>
  <c r="E9" i="290" s="1"/>
  <c r="E27" i="290" s="1"/>
  <c r="E9" i="291" s="1"/>
  <c r="E27" i="291" s="1"/>
  <c r="I23" i="286"/>
  <c r="H23" i="286"/>
  <c r="G23" i="286"/>
  <c r="H19" i="273" s="1"/>
  <c r="K23" i="285"/>
  <c r="J23" i="285"/>
  <c r="G23" i="285"/>
  <c r="H38" i="274" s="1"/>
  <c r="E23" i="285"/>
  <c r="I25" i="292" l="1"/>
  <c r="H41" i="273"/>
  <c r="I43" i="293"/>
  <c r="H42" i="273"/>
  <c r="I25" i="269"/>
  <c r="H41" i="250"/>
  <c r="I43" i="247"/>
  <c r="H42" i="227"/>
  <c r="K9" i="242"/>
  <c r="K27" i="242" s="1"/>
  <c r="K9" i="243" s="1"/>
  <c r="K27" i="243" s="1"/>
  <c r="K9" i="244" s="1"/>
  <c r="K27" i="244" s="1"/>
  <c r="H22" i="227"/>
  <c r="I25" i="246"/>
  <c r="H41" i="227"/>
  <c r="L9" i="242"/>
  <c r="L27" i="242" s="1"/>
  <c r="L9" i="243" s="1"/>
  <c r="L27" i="243" s="1"/>
  <c r="L9" i="244" s="1"/>
  <c r="L27" i="244" s="1"/>
  <c r="L9" i="245" s="1"/>
  <c r="L27" i="245" s="1"/>
  <c r="H23" i="227"/>
  <c r="I43" i="224"/>
  <c r="H42" i="204"/>
  <c r="I25" i="223"/>
  <c r="H41" i="204"/>
  <c r="I43" i="201"/>
  <c r="H42" i="181"/>
  <c r="I25" i="200"/>
  <c r="H41" i="181"/>
  <c r="K9" i="288"/>
  <c r="K27" i="288" s="1"/>
  <c r="L9" i="288"/>
  <c r="L27" i="288" s="1"/>
  <c r="L9" i="289" s="1"/>
  <c r="L27" i="289" s="1"/>
  <c r="L9" i="290" s="1"/>
  <c r="L27" i="290" s="1"/>
  <c r="L9" i="291" s="1"/>
  <c r="L27" i="291" s="1"/>
  <c r="K9" i="265"/>
  <c r="K27" i="265" s="1"/>
  <c r="K9" i="266" s="1"/>
  <c r="K27" i="266" s="1"/>
  <c r="K9" i="267" s="1"/>
  <c r="K27" i="267" s="1"/>
  <c r="K9" i="268" s="1"/>
  <c r="K27" i="268" s="1"/>
  <c r="L9" i="265"/>
  <c r="L27" i="265" s="1"/>
  <c r="L9" i="266" s="1"/>
  <c r="L27" i="266" s="1"/>
  <c r="L9" i="267" s="1"/>
  <c r="L27" i="267" s="1"/>
  <c r="L9" i="268" s="1"/>
  <c r="L27" i="268" s="1"/>
  <c r="K9" i="219"/>
  <c r="K27" i="219" s="1"/>
  <c r="K9" i="220" s="1"/>
  <c r="K27" i="220" s="1"/>
  <c r="L9" i="219"/>
  <c r="L27" i="219" s="1"/>
  <c r="L9" i="220" s="1"/>
  <c r="L27" i="220" s="1"/>
  <c r="L9" i="221" s="1"/>
  <c r="L27" i="221" s="1"/>
  <c r="L9" i="222" s="1"/>
  <c r="L27" i="222" s="1"/>
  <c r="E9" i="198"/>
  <c r="E27" i="198" s="1"/>
  <c r="E9" i="199"/>
  <c r="E27" i="199" s="1"/>
  <c r="F9" i="198"/>
  <c r="F27" i="198" s="1"/>
  <c r="F9" i="199"/>
  <c r="F27" i="199" s="1"/>
  <c r="J9" i="198"/>
  <c r="J27" i="198" s="1"/>
  <c r="J9" i="199"/>
  <c r="J27" i="199" s="1"/>
  <c r="I9" i="198"/>
  <c r="I27" i="198" s="1"/>
  <c r="I9" i="199"/>
  <c r="I27" i="199" s="1"/>
  <c r="G9" i="198"/>
  <c r="G27" i="198" s="1"/>
  <c r="G9" i="199"/>
  <c r="G27" i="199" s="1"/>
  <c r="H9" i="198"/>
  <c r="H27" i="198" s="1"/>
  <c r="H9" i="199"/>
  <c r="H27" i="199" s="1"/>
  <c r="K9" i="196"/>
  <c r="K27" i="196" s="1"/>
  <c r="K9" i="197" s="1"/>
  <c r="K27" i="197" s="1"/>
  <c r="L9" i="196"/>
  <c r="L27" i="196" s="1"/>
  <c r="L9" i="197" s="1"/>
  <c r="L27" i="197" s="1"/>
  <c r="I43" i="270"/>
  <c r="L42" i="264"/>
  <c r="L42" i="218"/>
  <c r="L42" i="195"/>
  <c r="L42" i="241"/>
  <c r="L42" i="287"/>
  <c r="L42" i="243" l="1"/>
  <c r="L42" i="242"/>
  <c r="L42" i="288"/>
  <c r="K9" i="289"/>
  <c r="K27" i="289" s="1"/>
  <c r="L42" i="268"/>
  <c r="L42" i="267"/>
  <c r="L42" i="266"/>
  <c r="L42" i="265"/>
  <c r="L42" i="244"/>
  <c r="K9" i="245"/>
  <c r="K27" i="245" s="1"/>
  <c r="L42" i="220"/>
  <c r="K9" i="221"/>
  <c r="K27" i="221" s="1"/>
  <c r="L42" i="219"/>
  <c r="L9" i="198"/>
  <c r="L27" i="198" s="1"/>
  <c r="L9" i="199"/>
  <c r="L27" i="199" s="1"/>
  <c r="H23" i="181" s="1"/>
  <c r="K9" i="198"/>
  <c r="K27" i="198" s="1"/>
  <c r="K9" i="199"/>
  <c r="K27" i="199" s="1"/>
  <c r="H22" i="181" s="1"/>
  <c r="L42" i="197"/>
  <c r="L42" i="196"/>
  <c r="L42" i="289" l="1"/>
  <c r="K9" i="290"/>
  <c r="K27" i="290" s="1"/>
  <c r="L42" i="245"/>
  <c r="L42" i="221"/>
  <c r="K9" i="222"/>
  <c r="K27" i="222" s="1"/>
  <c r="L42" i="198"/>
  <c r="L42" i="199"/>
  <c r="L42" i="290" l="1"/>
  <c r="K9" i="291"/>
  <c r="K27" i="291" s="1"/>
  <c r="L42" i="291" s="1"/>
  <c r="L42" i="222"/>
  <c r="I26" i="284"/>
  <c r="D26" i="284"/>
  <c r="I24" i="284"/>
  <c r="K18" i="284"/>
  <c r="M23" i="284" s="1"/>
  <c r="M25" i="284" s="1"/>
  <c r="M27" i="284" s="1"/>
  <c r="J18" i="284"/>
  <c r="G18" i="284"/>
  <c r="H20" i="273" s="1"/>
  <c r="E18" i="284"/>
  <c r="H41" i="282"/>
  <c r="G41" i="282"/>
  <c r="B31" i="282"/>
  <c r="B29" i="282"/>
  <c r="I28" i="282"/>
  <c r="I30" i="282" s="1"/>
  <c r="K32" i="282" s="1"/>
  <c r="H23" i="282"/>
  <c r="G22" i="282"/>
  <c r="G23" i="282" s="1"/>
  <c r="B22" i="282"/>
  <c r="B17" i="282"/>
  <c r="H12" i="282"/>
  <c r="G11" i="282"/>
  <c r="B11" i="282"/>
  <c r="B7" i="282"/>
  <c r="H41" i="281"/>
  <c r="G41" i="281"/>
  <c r="B31" i="281"/>
  <c r="B29" i="281"/>
  <c r="I28" i="281"/>
  <c r="I30" i="281" s="1"/>
  <c r="K32" i="281" s="1"/>
  <c r="H23" i="281"/>
  <c r="G22" i="281"/>
  <c r="H17" i="273" s="1"/>
  <c r="B22" i="281"/>
  <c r="B17" i="281"/>
  <c r="H12" i="281"/>
  <c r="G11" i="281"/>
  <c r="B11" i="281"/>
  <c r="B7" i="281"/>
  <c r="N23" i="280"/>
  <c r="N22" i="280"/>
  <c r="N21" i="280"/>
  <c r="L20" i="280"/>
  <c r="J20" i="280"/>
  <c r="H20" i="280"/>
  <c r="N19" i="280"/>
  <c r="N18" i="280"/>
  <c r="N17" i="280"/>
  <c r="N16" i="280"/>
  <c r="N15" i="280"/>
  <c r="N13" i="280"/>
  <c r="L51" i="279"/>
  <c r="L45" i="279"/>
  <c r="L21" i="279"/>
  <c r="L24" i="279" s="1"/>
  <c r="G20" i="271" s="1"/>
  <c r="L44" i="278"/>
  <c r="B27" i="278"/>
  <c r="B20" i="278"/>
  <c r="V13" i="278"/>
  <c r="J39" i="276"/>
  <c r="J32" i="276"/>
  <c r="J34" i="276" s="1"/>
  <c r="J21" i="276"/>
  <c r="H20" i="276"/>
  <c r="H22" i="276" s="1"/>
  <c r="J15" i="276"/>
  <c r="J14" i="276"/>
  <c r="J13" i="276"/>
  <c r="J12" i="276"/>
  <c r="J11" i="276"/>
  <c r="J10" i="276"/>
  <c r="J9" i="276"/>
  <c r="I7" i="276"/>
  <c r="K26" i="275"/>
  <c r="J26" i="275"/>
  <c r="I26" i="275"/>
  <c r="H26" i="275"/>
  <c r="G26" i="275"/>
  <c r="F26" i="275"/>
  <c r="E26" i="275"/>
  <c r="L25" i="275"/>
  <c r="L24" i="275"/>
  <c r="L23" i="275"/>
  <c r="L22" i="275"/>
  <c r="L20" i="275"/>
  <c r="H40" i="274" s="1"/>
  <c r="L19" i="275"/>
  <c r="L18" i="275"/>
  <c r="L17" i="275"/>
  <c r="L16" i="275"/>
  <c r="L15" i="275"/>
  <c r="L13" i="275"/>
  <c r="L12" i="275"/>
  <c r="L11" i="275"/>
  <c r="L10" i="275"/>
  <c r="L9" i="275"/>
  <c r="I26" i="261"/>
  <c r="D26" i="261"/>
  <c r="I24" i="261"/>
  <c r="K18" i="261"/>
  <c r="M23" i="261" s="1"/>
  <c r="M25" i="261" s="1"/>
  <c r="M27" i="261" s="1"/>
  <c r="J18" i="261"/>
  <c r="G18" i="261"/>
  <c r="H20" i="250" s="1"/>
  <c r="E18" i="261"/>
  <c r="H41" i="259"/>
  <c r="G41" i="259"/>
  <c r="B31" i="259"/>
  <c r="B29" i="259"/>
  <c r="I28" i="259"/>
  <c r="I30" i="259" s="1"/>
  <c r="K32" i="259" s="1"/>
  <c r="H23" i="259"/>
  <c r="G22" i="259"/>
  <c r="G23" i="259" s="1"/>
  <c r="B22" i="259"/>
  <c r="B17" i="259"/>
  <c r="H12" i="259"/>
  <c r="G11" i="259"/>
  <c r="B11" i="259"/>
  <c r="B7" i="259"/>
  <c r="H41" i="258"/>
  <c r="G41" i="258"/>
  <c r="B31" i="258"/>
  <c r="B29" i="258"/>
  <c r="I30" i="258"/>
  <c r="K32" i="258" s="1"/>
  <c r="H23" i="258"/>
  <c r="G22" i="258"/>
  <c r="H17" i="250" s="1"/>
  <c r="B22" i="258"/>
  <c r="B17" i="258"/>
  <c r="H12" i="258"/>
  <c r="G11" i="258"/>
  <c r="B11" i="258"/>
  <c r="B7" i="258"/>
  <c r="N23" i="257"/>
  <c r="N22" i="257"/>
  <c r="N21" i="257"/>
  <c r="L20" i="257"/>
  <c r="J20" i="257"/>
  <c r="H20" i="257"/>
  <c r="N19" i="257"/>
  <c r="N18" i="257"/>
  <c r="N17" i="257"/>
  <c r="N16" i="257"/>
  <c r="N15" i="257"/>
  <c r="N13" i="257"/>
  <c r="L51" i="256"/>
  <c r="L45" i="256"/>
  <c r="L21" i="256"/>
  <c r="L24" i="256" s="1"/>
  <c r="G20" i="248" s="1"/>
  <c r="L44" i="255"/>
  <c r="B27" i="255"/>
  <c r="B20" i="255"/>
  <c r="V13" i="255"/>
  <c r="J39" i="253"/>
  <c r="J32" i="253"/>
  <c r="J34" i="253" s="1"/>
  <c r="J21" i="253"/>
  <c r="H20" i="253"/>
  <c r="H22" i="253" s="1"/>
  <c r="J15" i="253"/>
  <c r="J14" i="253"/>
  <c r="J13" i="253"/>
  <c r="J12" i="253"/>
  <c r="J11" i="253"/>
  <c r="J10" i="253"/>
  <c r="J9" i="253"/>
  <c r="I7" i="253"/>
  <c r="K26" i="252"/>
  <c r="J26" i="252"/>
  <c r="I26" i="252"/>
  <c r="H26" i="252"/>
  <c r="G26" i="252"/>
  <c r="F26" i="252"/>
  <c r="E26" i="252"/>
  <c r="L25" i="252"/>
  <c r="L24" i="252"/>
  <c r="L23" i="252"/>
  <c r="L22" i="252"/>
  <c r="L20" i="252"/>
  <c r="H40" i="251" s="1"/>
  <c r="L19" i="252"/>
  <c r="L18" i="252"/>
  <c r="L17" i="252"/>
  <c r="L16" i="252"/>
  <c r="L15" i="252"/>
  <c r="L13" i="252"/>
  <c r="L12" i="252"/>
  <c r="L11" i="252"/>
  <c r="L10" i="252"/>
  <c r="L9" i="252"/>
  <c r="G43" i="251"/>
  <c r="I26" i="238"/>
  <c r="D26" i="238"/>
  <c r="I24" i="238"/>
  <c r="K18" i="238"/>
  <c r="M23" i="238" s="1"/>
  <c r="M25" i="238" s="1"/>
  <c r="M27" i="238" s="1"/>
  <c r="J18" i="238"/>
  <c r="G18" i="238"/>
  <c r="H20" i="227" s="1"/>
  <c r="E18" i="238"/>
  <c r="H41" i="236"/>
  <c r="G41" i="236"/>
  <c r="B31" i="236"/>
  <c r="B29" i="236"/>
  <c r="I28" i="236"/>
  <c r="I30" i="236" s="1"/>
  <c r="K32" i="236" s="1"/>
  <c r="H23" i="236"/>
  <c r="G22" i="236"/>
  <c r="G23" i="236" s="1"/>
  <c r="B22" i="236"/>
  <c r="B17" i="236"/>
  <c r="H12" i="236"/>
  <c r="G11" i="236"/>
  <c r="B11" i="236"/>
  <c r="B7" i="236"/>
  <c r="H41" i="235"/>
  <c r="G41" i="235"/>
  <c r="B31" i="235"/>
  <c r="B29" i="235"/>
  <c r="I28" i="235"/>
  <c r="I30" i="235" s="1"/>
  <c r="K32" i="235" s="1"/>
  <c r="H23" i="235"/>
  <c r="G22" i="235"/>
  <c r="B22" i="235"/>
  <c r="B17" i="235"/>
  <c r="H12" i="235"/>
  <c r="G11" i="235"/>
  <c r="B11" i="235"/>
  <c r="B7" i="235"/>
  <c r="N23" i="234"/>
  <c r="N22" i="234"/>
  <c r="N21" i="234"/>
  <c r="L20" i="234"/>
  <c r="J20" i="234"/>
  <c r="H20" i="234"/>
  <c r="N19" i="234"/>
  <c r="N18" i="234"/>
  <c r="N17" i="234"/>
  <c r="N16" i="234"/>
  <c r="N15" i="234"/>
  <c r="N13" i="234"/>
  <c r="L51" i="233"/>
  <c r="L45" i="233"/>
  <c r="L21" i="233"/>
  <c r="L24" i="233" s="1"/>
  <c r="G20" i="225" s="1"/>
  <c r="L44" i="232"/>
  <c r="B27" i="232"/>
  <c r="B20" i="232"/>
  <c r="V13" i="232"/>
  <c r="J39" i="230"/>
  <c r="J32" i="230"/>
  <c r="J34" i="230" s="1"/>
  <c r="J21" i="230"/>
  <c r="H20" i="230"/>
  <c r="H22" i="230" s="1"/>
  <c r="J15" i="230"/>
  <c r="J14" i="230"/>
  <c r="J13" i="230"/>
  <c r="J12" i="230"/>
  <c r="J11" i="230"/>
  <c r="J10" i="230"/>
  <c r="J9" i="230"/>
  <c r="I7" i="230"/>
  <c r="K26" i="229"/>
  <c r="J26" i="229"/>
  <c r="I26" i="229"/>
  <c r="H26" i="229"/>
  <c r="G26" i="229"/>
  <c r="F26" i="229"/>
  <c r="E26" i="229"/>
  <c r="L25" i="229"/>
  <c r="L24" i="229"/>
  <c r="L23" i="229"/>
  <c r="L22" i="229"/>
  <c r="L20" i="229"/>
  <c r="H40" i="228" s="1"/>
  <c r="L19" i="229"/>
  <c r="L18" i="229"/>
  <c r="L17" i="229"/>
  <c r="L16" i="229"/>
  <c r="L15" i="229"/>
  <c r="L13" i="229"/>
  <c r="L12" i="229"/>
  <c r="L11" i="229"/>
  <c r="L10" i="229"/>
  <c r="L9" i="229"/>
  <c r="G43" i="228"/>
  <c r="I26" i="215"/>
  <c r="D26" i="215"/>
  <c r="I24" i="215"/>
  <c r="K18" i="215"/>
  <c r="M23" i="215" s="1"/>
  <c r="M25" i="215" s="1"/>
  <c r="M27" i="215" s="1"/>
  <c r="J18" i="215"/>
  <c r="G18" i="215"/>
  <c r="H20" i="204" s="1"/>
  <c r="E18" i="215"/>
  <c r="H41" i="213"/>
  <c r="G41" i="213"/>
  <c r="B31" i="213"/>
  <c r="B29" i="213"/>
  <c r="I28" i="213"/>
  <c r="I30" i="213" s="1"/>
  <c r="K32" i="213" s="1"/>
  <c r="H23" i="213"/>
  <c r="G22" i="213"/>
  <c r="G23" i="213" s="1"/>
  <c r="B22" i="213"/>
  <c r="B17" i="213"/>
  <c r="H12" i="213"/>
  <c r="G11" i="213"/>
  <c r="B11" i="213"/>
  <c r="B7" i="213"/>
  <c r="H41" i="212"/>
  <c r="G41" i="212"/>
  <c r="B31" i="212"/>
  <c r="B29" i="212"/>
  <c r="I28" i="212"/>
  <c r="I30" i="212" s="1"/>
  <c r="K32" i="212" s="1"/>
  <c r="H23" i="212"/>
  <c r="G22" i="212"/>
  <c r="H17" i="204" s="1"/>
  <c r="B22" i="212"/>
  <c r="B17" i="212"/>
  <c r="H12" i="212"/>
  <c r="G11" i="212"/>
  <c r="B11" i="212"/>
  <c r="B7" i="212"/>
  <c r="N23" i="211"/>
  <c r="N22" i="211"/>
  <c r="N21" i="211"/>
  <c r="L20" i="211"/>
  <c r="J20" i="211"/>
  <c r="H20" i="211"/>
  <c r="N19" i="211"/>
  <c r="N18" i="211"/>
  <c r="N17" i="211"/>
  <c r="N16" i="211"/>
  <c r="N15" i="211"/>
  <c r="N13" i="211"/>
  <c r="L51" i="210"/>
  <c r="L45" i="210"/>
  <c r="L21" i="210"/>
  <c r="L24" i="210" s="1"/>
  <c r="G20" i="202" s="1"/>
  <c r="L44" i="209"/>
  <c r="B27" i="209"/>
  <c r="B20" i="209"/>
  <c r="V13" i="209"/>
  <c r="J39" i="207"/>
  <c r="J32" i="207"/>
  <c r="J34" i="207" s="1"/>
  <c r="J21" i="207"/>
  <c r="H20" i="207"/>
  <c r="H22" i="207" s="1"/>
  <c r="J15" i="207"/>
  <c r="J14" i="207"/>
  <c r="J13" i="207"/>
  <c r="J12" i="207"/>
  <c r="J11" i="207"/>
  <c r="J10" i="207"/>
  <c r="J9" i="207"/>
  <c r="I7" i="207"/>
  <c r="K26" i="206"/>
  <c r="J26" i="206"/>
  <c r="I26" i="206"/>
  <c r="H26" i="206"/>
  <c r="G26" i="206"/>
  <c r="F26" i="206"/>
  <c r="E26" i="206"/>
  <c r="L25" i="206"/>
  <c r="L24" i="206"/>
  <c r="L23" i="206"/>
  <c r="L22" i="206"/>
  <c r="L20" i="206"/>
  <c r="H40" i="205" s="1"/>
  <c r="L19" i="206"/>
  <c r="L18" i="206"/>
  <c r="L17" i="206"/>
  <c r="L16" i="206"/>
  <c r="L15" i="206"/>
  <c r="L13" i="206"/>
  <c r="L12" i="206"/>
  <c r="L11" i="206"/>
  <c r="L10" i="206"/>
  <c r="L9" i="206"/>
  <c r="G43" i="205"/>
  <c r="I26" i="192"/>
  <c r="D26" i="192"/>
  <c r="I24" i="192"/>
  <c r="K18" i="192"/>
  <c r="M23" i="192" s="1"/>
  <c r="M25" i="192" s="1"/>
  <c r="M27" i="192" s="1"/>
  <c r="J18" i="192"/>
  <c r="G18" i="192"/>
  <c r="H20" i="181" s="1"/>
  <c r="E18" i="192"/>
  <c r="H41" i="190"/>
  <c r="G41" i="190"/>
  <c r="B31" i="190"/>
  <c r="B29" i="190"/>
  <c r="I28" i="190"/>
  <c r="I30" i="190" s="1"/>
  <c r="K32" i="190" s="1"/>
  <c r="H23" i="190"/>
  <c r="G22" i="190"/>
  <c r="G23" i="190" s="1"/>
  <c r="B22" i="190"/>
  <c r="B17" i="190"/>
  <c r="H12" i="190"/>
  <c r="G11" i="190"/>
  <c r="B11" i="190"/>
  <c r="B7" i="190"/>
  <c r="H41" i="189"/>
  <c r="G41" i="189"/>
  <c r="B31" i="189"/>
  <c r="B29" i="189"/>
  <c r="I28" i="189"/>
  <c r="I30" i="189" s="1"/>
  <c r="K32" i="189" s="1"/>
  <c r="H23" i="189"/>
  <c r="G22" i="189"/>
  <c r="H17" i="181" s="1"/>
  <c r="B22" i="189"/>
  <c r="B17" i="189"/>
  <c r="H12" i="189"/>
  <c r="G11" i="189"/>
  <c r="B11" i="189"/>
  <c r="B7" i="189"/>
  <c r="N23" i="188"/>
  <c r="N22" i="188"/>
  <c r="N21" i="188"/>
  <c r="L20" i="188"/>
  <c r="J20" i="188"/>
  <c r="H20" i="188"/>
  <c r="N19" i="188"/>
  <c r="N18" i="188"/>
  <c r="N17" i="188"/>
  <c r="N16" i="188"/>
  <c r="N15" i="188"/>
  <c r="N13" i="188"/>
  <c r="L51" i="187"/>
  <c r="L45" i="187"/>
  <c r="L21" i="187"/>
  <c r="L24" i="187" s="1"/>
  <c r="G20" i="179" s="1"/>
  <c r="L44" i="186"/>
  <c r="B27" i="186"/>
  <c r="B20" i="186"/>
  <c r="V13" i="186"/>
  <c r="J39" i="184"/>
  <c r="J32" i="184"/>
  <c r="J34" i="184" s="1"/>
  <c r="J21" i="184"/>
  <c r="H20" i="184"/>
  <c r="H22" i="184" s="1"/>
  <c r="J15" i="184"/>
  <c r="J14" i="184"/>
  <c r="J13" i="184"/>
  <c r="J12" i="184"/>
  <c r="J11" i="184"/>
  <c r="J10" i="184"/>
  <c r="J9" i="184"/>
  <c r="I7" i="184"/>
  <c r="K26" i="183"/>
  <c r="J26" i="183"/>
  <c r="I26" i="183"/>
  <c r="H26" i="183"/>
  <c r="G26" i="183"/>
  <c r="F26" i="183"/>
  <c r="E26" i="183"/>
  <c r="L25" i="183"/>
  <c r="L24" i="183"/>
  <c r="L23" i="183"/>
  <c r="L22" i="183"/>
  <c r="L20" i="183"/>
  <c r="H40" i="182" s="1"/>
  <c r="L19" i="183"/>
  <c r="L18" i="183"/>
  <c r="L17" i="183"/>
  <c r="L16" i="183"/>
  <c r="L15" i="183"/>
  <c r="L13" i="183"/>
  <c r="L12" i="183"/>
  <c r="L11" i="183"/>
  <c r="L10" i="183"/>
  <c r="L9" i="183"/>
  <c r="G43" i="182"/>
  <c r="G12" i="212" l="1"/>
  <c r="H39" i="205"/>
  <c r="G12" i="258"/>
  <c r="H39" i="251"/>
  <c r="G12" i="189"/>
  <c r="H39" i="182"/>
  <c r="G12" i="235"/>
  <c r="H39" i="228"/>
  <c r="G12" i="281"/>
  <c r="H39" i="274"/>
  <c r="H43" i="274" s="1"/>
  <c r="G12" i="282"/>
  <c r="H18" i="273"/>
  <c r="G12" i="259"/>
  <c r="H18" i="250"/>
  <c r="G23" i="235"/>
  <c r="H17" i="227"/>
  <c r="G12" i="213"/>
  <c r="H18" i="204"/>
  <c r="G12" i="236"/>
  <c r="H18" i="227"/>
  <c r="G12" i="190"/>
  <c r="H18" i="181"/>
  <c r="J7" i="184"/>
  <c r="J20" i="184" s="1"/>
  <c r="K23" i="186"/>
  <c r="J7" i="230"/>
  <c r="J20" i="230" s="1"/>
  <c r="K23" i="232"/>
  <c r="J7" i="207"/>
  <c r="J20" i="207" s="1"/>
  <c r="K23" i="209"/>
  <c r="I20" i="253"/>
  <c r="K23" i="255"/>
  <c r="J7" i="276"/>
  <c r="J20" i="276" s="1"/>
  <c r="K23" i="278"/>
  <c r="G23" i="189"/>
  <c r="G23" i="258"/>
  <c r="G23" i="281"/>
  <c r="G23" i="212"/>
  <c r="L54" i="279"/>
  <c r="G21" i="271" s="1"/>
  <c r="N20" i="280"/>
  <c r="L38" i="278"/>
  <c r="J29" i="277"/>
  <c r="K32" i="277" s="1"/>
  <c r="J40" i="276"/>
  <c r="L6" i="278" s="1"/>
  <c r="I20" i="276"/>
  <c r="L26" i="275"/>
  <c r="H39" i="271"/>
  <c r="L39" i="278" s="1"/>
  <c r="L54" i="256"/>
  <c r="G21" i="248" s="1"/>
  <c r="N20" i="257"/>
  <c r="L38" i="255"/>
  <c r="J29" i="254"/>
  <c r="K32" i="254" s="1"/>
  <c r="H39" i="248"/>
  <c r="L39" i="255" s="1"/>
  <c r="J40" i="253"/>
  <c r="L6" i="255" s="1"/>
  <c r="J7" i="253"/>
  <c r="J20" i="253" s="1"/>
  <c r="L26" i="252"/>
  <c r="L54" i="187"/>
  <c r="G21" i="179" s="1"/>
  <c r="N20" i="234"/>
  <c r="J29" i="208"/>
  <c r="K32" i="208" s="1"/>
  <c r="I20" i="184"/>
  <c r="N20" i="188"/>
  <c r="H39" i="202"/>
  <c r="L39" i="209" s="1"/>
  <c r="H39" i="225"/>
  <c r="L39" i="232" s="1"/>
  <c r="I20" i="230"/>
  <c r="J40" i="184"/>
  <c r="L6" i="186" s="1"/>
  <c r="N20" i="211"/>
  <c r="L54" i="233"/>
  <c r="G21" i="225" s="1"/>
  <c r="L26" i="183"/>
  <c r="L38" i="186"/>
  <c r="L40" i="186" s="1"/>
  <c r="L45" i="186" s="1"/>
  <c r="J40" i="207"/>
  <c r="L6" i="209" s="1"/>
  <c r="L54" i="210"/>
  <c r="G21" i="202" s="1"/>
  <c r="L38" i="232"/>
  <c r="L26" i="206"/>
  <c r="L38" i="209"/>
  <c r="J40" i="230"/>
  <c r="L6" i="232" s="1"/>
  <c r="I20" i="207"/>
  <c r="J29" i="185"/>
  <c r="K32" i="185" s="1"/>
  <c r="L26" i="229"/>
  <c r="J29" i="231"/>
  <c r="K32" i="231" s="1"/>
  <c r="D27" i="137"/>
  <c r="J5" i="137"/>
  <c r="D27" i="136"/>
  <c r="J5" i="136"/>
  <c r="H39" i="133"/>
  <c r="G39" i="133"/>
  <c r="K27" i="133"/>
  <c r="B27" i="133"/>
  <c r="H24" i="133"/>
  <c r="G23" i="133"/>
  <c r="G24" i="133" s="1"/>
  <c r="K16" i="133"/>
  <c r="B16" i="133"/>
  <c r="B15" i="133"/>
  <c r="B26" i="133" s="1"/>
  <c r="B14" i="133"/>
  <c r="B25" i="133" s="1"/>
  <c r="H13" i="133"/>
  <c r="G12" i="133"/>
  <c r="B3" i="133"/>
  <c r="H39" i="132"/>
  <c r="G39" i="132"/>
  <c r="K27" i="132"/>
  <c r="B27" i="132"/>
  <c r="H24" i="132"/>
  <c r="G23" i="132"/>
  <c r="G24" i="132" s="1"/>
  <c r="K16" i="132"/>
  <c r="B16" i="132"/>
  <c r="B15" i="132"/>
  <c r="B26" i="132" s="1"/>
  <c r="B14" i="132"/>
  <c r="B25" i="132" s="1"/>
  <c r="H13" i="132"/>
  <c r="G12" i="132"/>
  <c r="G13" i="132" s="1"/>
  <c r="B3" i="132"/>
  <c r="I42" i="114"/>
  <c r="J42" i="114" s="1"/>
  <c r="I41" i="114"/>
  <c r="J41" i="114" s="1"/>
  <c r="I40" i="114"/>
  <c r="J40" i="114" s="1"/>
  <c r="I39" i="114"/>
  <c r="J39" i="114" s="1"/>
  <c r="I38" i="114"/>
  <c r="J38" i="114" s="1"/>
  <c r="I37" i="114"/>
  <c r="J37" i="114" s="1"/>
  <c r="I36" i="114"/>
  <c r="J36" i="114" s="1"/>
  <c r="I35" i="114"/>
  <c r="J35" i="114" s="1"/>
  <c r="I34" i="114"/>
  <c r="J34" i="114" s="1"/>
  <c r="I33" i="114"/>
  <c r="J33" i="114" s="1"/>
  <c r="I32" i="114"/>
  <c r="J32" i="114" s="1"/>
  <c r="I31" i="114"/>
  <c r="J31" i="114" s="1"/>
  <c r="I30" i="114"/>
  <c r="J30" i="114" s="1"/>
  <c r="I29" i="114"/>
  <c r="J29" i="114" s="1"/>
  <c r="I28" i="114"/>
  <c r="J28" i="114" s="1"/>
  <c r="I27" i="114"/>
  <c r="J27" i="114" s="1"/>
  <c r="I26" i="114"/>
  <c r="J26" i="114" s="1"/>
  <c r="I25" i="114"/>
  <c r="J25" i="114" s="1"/>
  <c r="I24" i="114"/>
  <c r="J24" i="114" s="1"/>
  <c r="I23" i="114"/>
  <c r="J23" i="114" s="1"/>
  <c r="I22" i="114"/>
  <c r="J22" i="114" s="1"/>
  <c r="I21" i="114"/>
  <c r="J21" i="114" s="1"/>
  <c r="I20" i="114"/>
  <c r="J20" i="114" s="1"/>
  <c r="I19" i="114"/>
  <c r="J19" i="114" s="1"/>
  <c r="I18" i="114"/>
  <c r="J18" i="114" s="1"/>
  <c r="I17" i="114"/>
  <c r="J17" i="114" s="1"/>
  <c r="I16" i="114"/>
  <c r="J16" i="114" s="1"/>
  <c r="I15" i="114"/>
  <c r="J15" i="114" s="1"/>
  <c r="I14" i="114"/>
  <c r="J14" i="114" s="1"/>
  <c r="I13" i="114"/>
  <c r="J13" i="114" s="1"/>
  <c r="J12" i="114"/>
  <c r="J11" i="114"/>
  <c r="I42" i="113"/>
  <c r="J42" i="113" s="1"/>
  <c r="I41" i="113"/>
  <c r="J41" i="113" s="1"/>
  <c r="I40" i="113"/>
  <c r="J40" i="113" s="1"/>
  <c r="I39" i="113"/>
  <c r="J39" i="113" s="1"/>
  <c r="I38" i="113"/>
  <c r="J38" i="113" s="1"/>
  <c r="I37" i="113"/>
  <c r="J37" i="113" s="1"/>
  <c r="I36" i="113"/>
  <c r="J36" i="113" s="1"/>
  <c r="I35" i="113"/>
  <c r="J35" i="113" s="1"/>
  <c r="I34" i="113"/>
  <c r="J34" i="113" s="1"/>
  <c r="I33" i="113"/>
  <c r="J33" i="113" s="1"/>
  <c r="I32" i="113"/>
  <c r="J32" i="113" s="1"/>
  <c r="I31" i="113"/>
  <c r="J31" i="113" s="1"/>
  <c r="I30" i="113"/>
  <c r="J30" i="113" s="1"/>
  <c r="I29" i="113"/>
  <c r="J29" i="113" s="1"/>
  <c r="I28" i="113"/>
  <c r="J28" i="113" s="1"/>
  <c r="I27" i="113"/>
  <c r="J27" i="113" s="1"/>
  <c r="I26" i="113"/>
  <c r="J26" i="113" s="1"/>
  <c r="I25" i="113"/>
  <c r="J25" i="113" s="1"/>
  <c r="I24" i="113"/>
  <c r="J24" i="113" s="1"/>
  <c r="I23" i="113"/>
  <c r="J23" i="113" s="1"/>
  <c r="I22" i="113"/>
  <c r="J22" i="113" s="1"/>
  <c r="I21" i="113"/>
  <c r="J21" i="113" s="1"/>
  <c r="I20" i="113"/>
  <c r="J20" i="113" s="1"/>
  <c r="I19" i="113"/>
  <c r="J19" i="113" s="1"/>
  <c r="I18" i="113"/>
  <c r="J18" i="113" s="1"/>
  <c r="I17" i="113"/>
  <c r="J17" i="113" s="1"/>
  <c r="I16" i="113"/>
  <c r="J16" i="113" s="1"/>
  <c r="I15" i="113"/>
  <c r="J15" i="113" s="1"/>
  <c r="I14" i="113"/>
  <c r="J14" i="113" s="1"/>
  <c r="I13" i="113"/>
  <c r="J13" i="113" s="1"/>
  <c r="J12" i="113"/>
  <c r="J11" i="113"/>
  <c r="I42" i="112"/>
  <c r="J42" i="112" s="1"/>
  <c r="I41" i="112"/>
  <c r="J41" i="112" s="1"/>
  <c r="I40" i="112"/>
  <c r="J40" i="112" s="1"/>
  <c r="I39" i="112"/>
  <c r="J39" i="112" s="1"/>
  <c r="I38" i="112"/>
  <c r="J38" i="112" s="1"/>
  <c r="I37" i="112"/>
  <c r="J37" i="112" s="1"/>
  <c r="I36" i="112"/>
  <c r="J36" i="112" s="1"/>
  <c r="I35" i="112"/>
  <c r="J35" i="112" s="1"/>
  <c r="I34" i="112"/>
  <c r="J34" i="112" s="1"/>
  <c r="I33" i="112"/>
  <c r="J33" i="112" s="1"/>
  <c r="I32" i="112"/>
  <c r="J32" i="112" s="1"/>
  <c r="I31" i="112"/>
  <c r="J31" i="112" s="1"/>
  <c r="I30" i="112"/>
  <c r="J30" i="112" s="1"/>
  <c r="I29" i="112"/>
  <c r="J29" i="112" s="1"/>
  <c r="I28" i="112"/>
  <c r="J28" i="112" s="1"/>
  <c r="I27" i="112"/>
  <c r="J27" i="112" s="1"/>
  <c r="I26" i="112"/>
  <c r="J26" i="112" s="1"/>
  <c r="I25" i="112"/>
  <c r="J25" i="112" s="1"/>
  <c r="I24" i="112"/>
  <c r="J24" i="112" s="1"/>
  <c r="I23" i="112"/>
  <c r="J23" i="112" s="1"/>
  <c r="I22" i="112"/>
  <c r="J22" i="112" s="1"/>
  <c r="I21" i="112"/>
  <c r="J21" i="112" s="1"/>
  <c r="I20" i="112"/>
  <c r="J20" i="112" s="1"/>
  <c r="I19" i="112"/>
  <c r="J19" i="112" s="1"/>
  <c r="I18" i="112"/>
  <c r="J18" i="112" s="1"/>
  <c r="I17" i="112"/>
  <c r="J17" i="112" s="1"/>
  <c r="I16" i="112"/>
  <c r="J16" i="112" s="1"/>
  <c r="I15" i="112"/>
  <c r="J15" i="112" s="1"/>
  <c r="I14" i="112"/>
  <c r="J14" i="112" s="1"/>
  <c r="I13" i="112"/>
  <c r="J13" i="112" s="1"/>
  <c r="J12" i="112"/>
  <c r="J11" i="112"/>
  <c r="I42" i="111"/>
  <c r="J42" i="111" s="1"/>
  <c r="I41" i="111"/>
  <c r="J41" i="111" s="1"/>
  <c r="I40" i="111"/>
  <c r="J40" i="111" s="1"/>
  <c r="I39" i="111"/>
  <c r="J39" i="111" s="1"/>
  <c r="I38" i="111"/>
  <c r="J38" i="111" s="1"/>
  <c r="I37" i="111"/>
  <c r="J37" i="111" s="1"/>
  <c r="I36" i="111"/>
  <c r="J36" i="111" s="1"/>
  <c r="I35" i="111"/>
  <c r="J35" i="111" s="1"/>
  <c r="I34" i="111"/>
  <c r="J34" i="111" s="1"/>
  <c r="I33" i="111"/>
  <c r="J33" i="111" s="1"/>
  <c r="I32" i="111"/>
  <c r="J32" i="111" s="1"/>
  <c r="I31" i="111"/>
  <c r="J31" i="111" s="1"/>
  <c r="I30" i="111"/>
  <c r="J30" i="111" s="1"/>
  <c r="I29" i="111"/>
  <c r="J29" i="111" s="1"/>
  <c r="I28" i="111"/>
  <c r="J28" i="111" s="1"/>
  <c r="I27" i="111"/>
  <c r="J27" i="111" s="1"/>
  <c r="I26" i="111"/>
  <c r="J26" i="111" s="1"/>
  <c r="I25" i="111"/>
  <c r="J25" i="111" s="1"/>
  <c r="I24" i="111"/>
  <c r="J24" i="111" s="1"/>
  <c r="I23" i="111"/>
  <c r="J23" i="111" s="1"/>
  <c r="I22" i="111"/>
  <c r="J22" i="111" s="1"/>
  <c r="I21" i="111"/>
  <c r="J21" i="111" s="1"/>
  <c r="I20" i="111"/>
  <c r="J20" i="111" s="1"/>
  <c r="I19" i="111"/>
  <c r="J19" i="111" s="1"/>
  <c r="I18" i="111"/>
  <c r="J18" i="111" s="1"/>
  <c r="I17" i="111"/>
  <c r="J17" i="111" s="1"/>
  <c r="I16" i="111"/>
  <c r="J16" i="111" s="1"/>
  <c r="I15" i="111"/>
  <c r="J15" i="111" s="1"/>
  <c r="I14" i="111"/>
  <c r="J14" i="111" s="1"/>
  <c r="I13" i="111"/>
  <c r="J13" i="111" s="1"/>
  <c r="J12" i="111"/>
  <c r="J11" i="111"/>
  <c r="L40" i="255" l="1"/>
  <c r="L45" i="255" s="1"/>
  <c r="L40" i="278"/>
  <c r="L45" i="278" s="1"/>
  <c r="L40" i="232"/>
  <c r="L45" i="232" s="1"/>
  <c r="L40" i="209"/>
  <c r="L45" i="209" s="1"/>
  <c r="J22" i="184"/>
  <c r="L5" i="186"/>
  <c r="I22" i="276"/>
  <c r="J16" i="277"/>
  <c r="I22" i="230"/>
  <c r="J16" i="231"/>
  <c r="I22" i="184"/>
  <c r="J16" i="185"/>
  <c r="I22" i="253"/>
  <c r="J16" i="254"/>
  <c r="J22" i="230"/>
  <c r="L5" i="232"/>
  <c r="J22" i="253"/>
  <c r="L5" i="255"/>
  <c r="I22" i="207"/>
  <c r="J16" i="208"/>
  <c r="J22" i="207"/>
  <c r="L5" i="209"/>
  <c r="J22" i="276"/>
  <c r="L5" i="278"/>
  <c r="G13" i="133"/>
  <c r="I33" i="110"/>
  <c r="I32" i="110"/>
  <c r="J32" i="110" s="1"/>
  <c r="I31" i="110"/>
  <c r="J31" i="110" s="1"/>
  <c r="I30" i="110"/>
  <c r="J30" i="110" s="1"/>
  <c r="I29" i="110"/>
  <c r="J29" i="110" s="1"/>
  <c r="I27" i="29"/>
  <c r="M47" i="25"/>
  <c r="M46" i="25"/>
  <c r="M45" i="25"/>
  <c r="M44" i="25"/>
  <c r="M43" i="25"/>
  <c r="M42" i="25"/>
  <c r="M41" i="25"/>
  <c r="M40" i="25"/>
  <c r="M39" i="25"/>
  <c r="M38" i="25"/>
  <c r="M37" i="25"/>
  <c r="M36" i="25"/>
  <c r="M35" i="25"/>
  <c r="M34" i="25"/>
  <c r="M33" i="25"/>
  <c r="M32" i="25"/>
  <c r="M31" i="25"/>
  <c r="M30" i="25"/>
  <c r="M29" i="25"/>
  <c r="M28" i="25"/>
  <c r="M27" i="25"/>
  <c r="M26" i="25"/>
  <c r="M25" i="25"/>
  <c r="M24" i="25"/>
  <c r="M23" i="25"/>
  <c r="M22" i="25"/>
  <c r="M21" i="25"/>
  <c r="M20" i="25"/>
  <c r="M19" i="25"/>
  <c r="M18" i="25"/>
  <c r="M17" i="25"/>
  <c r="M16" i="25"/>
  <c r="M15" i="25"/>
  <c r="M14" i="25"/>
  <c r="M13" i="25"/>
  <c r="M12" i="25"/>
  <c r="M11" i="25"/>
  <c r="M47" i="24"/>
  <c r="M46" i="24"/>
  <c r="M45" i="24"/>
  <c r="M44" i="24"/>
  <c r="M43" i="24"/>
  <c r="M42" i="24"/>
  <c r="M41" i="24"/>
  <c r="M40" i="24"/>
  <c r="M39" i="24"/>
  <c r="M38" i="24"/>
  <c r="M37" i="24"/>
  <c r="M36" i="24"/>
  <c r="M35" i="24"/>
  <c r="M34" i="24"/>
  <c r="M33" i="24"/>
  <c r="M32" i="24"/>
  <c r="M31" i="24"/>
  <c r="M30" i="24"/>
  <c r="M29" i="24"/>
  <c r="M28" i="24"/>
  <c r="M27" i="24"/>
  <c r="M26" i="24"/>
  <c r="M25" i="24"/>
  <c r="M24" i="24"/>
  <c r="M23" i="24"/>
  <c r="M22" i="24"/>
  <c r="M21" i="24"/>
  <c r="M20" i="24"/>
  <c r="M19" i="24"/>
  <c r="M18" i="24"/>
  <c r="M17" i="24"/>
  <c r="M16" i="24"/>
  <c r="M15" i="24"/>
  <c r="M14" i="24"/>
  <c r="M13" i="24"/>
  <c r="M12" i="24"/>
  <c r="M11" i="24"/>
  <c r="M47" i="23"/>
  <c r="M46" i="23"/>
  <c r="M45" i="23"/>
  <c r="M44" i="23"/>
  <c r="M43" i="23"/>
  <c r="M42" i="23"/>
  <c r="M41" i="23"/>
  <c r="M40" i="23"/>
  <c r="M39" i="23"/>
  <c r="M38" i="23"/>
  <c r="M37" i="23"/>
  <c r="M36" i="23"/>
  <c r="M35" i="23"/>
  <c r="M34" i="23"/>
  <c r="M33" i="23"/>
  <c r="M32" i="23"/>
  <c r="M31" i="23"/>
  <c r="M30" i="23"/>
  <c r="M29" i="23"/>
  <c r="M28" i="23"/>
  <c r="M27" i="23"/>
  <c r="M26" i="23"/>
  <c r="M25" i="23"/>
  <c r="M24" i="23"/>
  <c r="M23" i="23"/>
  <c r="M22" i="23"/>
  <c r="M21" i="23"/>
  <c r="M20" i="23"/>
  <c r="M19" i="23"/>
  <c r="M18" i="23"/>
  <c r="M17" i="23"/>
  <c r="M16" i="23"/>
  <c r="M15" i="23"/>
  <c r="M14" i="23"/>
  <c r="M13" i="23"/>
  <c r="M12" i="23"/>
  <c r="M11" i="23"/>
  <c r="H44" i="16"/>
  <c r="H9" i="17" s="1"/>
  <c r="H44" i="17" s="1"/>
  <c r="H9" i="18" s="1"/>
  <c r="H44" i="18" s="1"/>
  <c r="H9" i="19" s="1"/>
  <c r="H44" i="19" s="1"/>
  <c r="H9" i="20" s="1"/>
  <c r="H44" i="20" s="1"/>
  <c r="I28" i="166"/>
  <c r="I28" i="167"/>
  <c r="K27" i="131"/>
  <c r="K16" i="131"/>
  <c r="L25" i="127"/>
  <c r="J25" i="127"/>
  <c r="H25" i="127"/>
  <c r="N24" i="127"/>
  <c r="N23" i="127"/>
  <c r="N22" i="127"/>
  <c r="N21" i="127"/>
  <c r="N20" i="127"/>
  <c r="N19" i="127"/>
  <c r="N17" i="127"/>
  <c r="N14" i="127"/>
  <c r="I17" i="116"/>
  <c r="I6" i="109"/>
  <c r="G41" i="107"/>
  <c r="G20" i="107"/>
  <c r="N25" i="127" l="1"/>
  <c r="I7" i="29"/>
  <c r="G10" i="14" s="1"/>
  <c r="H17" i="16"/>
  <c r="H38" i="15"/>
  <c r="H28" i="15"/>
  <c r="M47" i="22" l="1"/>
  <c r="M46" i="22"/>
  <c r="M45" i="22"/>
  <c r="M44" i="22"/>
  <c r="M43" i="22"/>
  <c r="M42" i="22"/>
  <c r="M41" i="22"/>
  <c r="M40" i="22"/>
  <c r="M39" i="22"/>
  <c r="M38" i="22"/>
  <c r="M37" i="22"/>
  <c r="M36" i="22"/>
  <c r="M35" i="22"/>
  <c r="M34" i="22"/>
  <c r="M33" i="22"/>
  <c r="M32" i="22"/>
  <c r="M31" i="22"/>
  <c r="M30" i="22"/>
  <c r="M29" i="22"/>
  <c r="M28" i="22"/>
  <c r="M27" i="22"/>
  <c r="M26" i="22"/>
  <c r="M25" i="22"/>
  <c r="M24" i="22"/>
  <c r="M23" i="22"/>
  <c r="M22" i="22"/>
  <c r="M21" i="22"/>
  <c r="M20" i="22"/>
  <c r="M19" i="22"/>
  <c r="M18" i="22"/>
  <c r="M17" i="22"/>
  <c r="M16" i="22"/>
  <c r="M15" i="22"/>
  <c r="M14" i="22"/>
  <c r="M13" i="22"/>
  <c r="M12" i="22"/>
  <c r="M11" i="22"/>
  <c r="M47" i="21"/>
  <c r="M46" i="21"/>
  <c r="M45" i="21"/>
  <c r="M44" i="21"/>
  <c r="M43" i="21"/>
  <c r="M42" i="21"/>
  <c r="M41" i="21"/>
  <c r="M40" i="21"/>
  <c r="M39" i="21"/>
  <c r="M38" i="21"/>
  <c r="M37" i="21"/>
  <c r="M36" i="21"/>
  <c r="M35" i="21"/>
  <c r="M34" i="21"/>
  <c r="M33" i="21"/>
  <c r="M32" i="21"/>
  <c r="M31" i="21"/>
  <c r="M30" i="21"/>
  <c r="M29" i="21"/>
  <c r="M28" i="21"/>
  <c r="M27" i="21"/>
  <c r="M26" i="21"/>
  <c r="H17" i="15" l="1"/>
  <c r="H28" i="11"/>
  <c r="J7" i="124"/>
  <c r="J20" i="124" s="1"/>
  <c r="G24" i="10"/>
  <c r="G23" i="10"/>
  <c r="E18" i="169"/>
  <c r="J24" i="162"/>
  <c r="J39" i="162"/>
  <c r="J20" i="165"/>
  <c r="H20" i="165"/>
  <c r="K23" i="170"/>
  <c r="J23" i="170"/>
  <c r="G23" i="170"/>
  <c r="E23" i="170"/>
  <c r="F26" i="160"/>
  <c r="G26" i="160"/>
  <c r="H26" i="160"/>
  <c r="I26" i="160"/>
  <c r="J26" i="160"/>
  <c r="L23" i="160"/>
  <c r="L24" i="160"/>
  <c r="L25" i="160"/>
  <c r="L22" i="160"/>
  <c r="L16" i="160"/>
  <c r="L17" i="160"/>
  <c r="L18" i="160"/>
  <c r="L19" i="160"/>
  <c r="L20" i="160"/>
  <c r="L15" i="160"/>
  <c r="L10" i="160"/>
  <c r="L11" i="160"/>
  <c r="L12" i="160"/>
  <c r="L13" i="160"/>
  <c r="L9" i="160"/>
  <c r="H38" i="159" l="1"/>
  <c r="H40" i="159"/>
  <c r="L26" i="160"/>
  <c r="K5" i="125"/>
  <c r="K20" i="123"/>
  <c r="J21" i="123" l="1"/>
  <c r="G13" i="10" s="1"/>
  <c r="I22" i="123"/>
  <c r="H13" i="10" s="1"/>
  <c r="H24" i="11" l="1"/>
  <c r="H23" i="11"/>
  <c r="H22" i="11"/>
  <c r="I50" i="6" l="1"/>
  <c r="B4" i="8"/>
  <c r="C9" i="4"/>
  <c r="C15" i="4"/>
  <c r="C4" i="4"/>
  <c r="E46" i="5"/>
  <c r="G45" i="5"/>
  <c r="H57" i="5"/>
  <c r="B42" i="178"/>
  <c r="B34" i="178"/>
  <c r="B8" i="177"/>
  <c r="B41" i="177"/>
  <c r="B35" i="177"/>
  <c r="B24" i="177"/>
  <c r="K4" i="172"/>
  <c r="E4" i="172"/>
  <c r="I23" i="171"/>
  <c r="I26" i="169"/>
  <c r="I24" i="169"/>
  <c r="D26" i="169"/>
  <c r="B17" i="167"/>
  <c r="B31" i="167"/>
  <c r="B29" i="167"/>
  <c r="B22" i="167"/>
  <c r="B11" i="167"/>
  <c r="B7" i="167"/>
  <c r="B29" i="166"/>
  <c r="B31" i="166"/>
  <c r="B11" i="166"/>
  <c r="B17" i="166"/>
  <c r="B7" i="166"/>
  <c r="B22" i="166"/>
  <c r="G22" i="166"/>
  <c r="H17" i="158" l="1"/>
  <c r="N23" i="165"/>
  <c r="N22" i="165"/>
  <c r="N21" i="165"/>
  <c r="N18" i="165"/>
  <c r="N17" i="165"/>
  <c r="N16" i="165"/>
  <c r="B20" i="163"/>
  <c r="B27" i="163"/>
  <c r="F28" i="140"/>
  <c r="K28" i="140" l="1"/>
  <c r="K9" i="141" s="1"/>
  <c r="J17" i="115"/>
  <c r="C18" i="4" s="1"/>
  <c r="H43" i="110"/>
  <c r="H10" i="111" s="1"/>
  <c r="H43" i="111" s="1"/>
  <c r="H10" i="112" s="1"/>
  <c r="H43" i="112" s="1"/>
  <c r="H10" i="113" s="1"/>
  <c r="H43" i="113" s="1"/>
  <c r="H10" i="114" s="1"/>
  <c r="H43" i="114" s="1"/>
  <c r="I42" i="110"/>
  <c r="J42" i="110" s="1"/>
  <c r="I41" i="110"/>
  <c r="J41" i="110" s="1"/>
  <c r="I40" i="110"/>
  <c r="J40" i="110" s="1"/>
  <c r="I39" i="110"/>
  <c r="J39" i="110" s="1"/>
  <c r="I38" i="110"/>
  <c r="J38" i="110" s="1"/>
  <c r="I37" i="110"/>
  <c r="J37" i="110" s="1"/>
  <c r="I36" i="110"/>
  <c r="J36" i="110" s="1"/>
  <c r="I35" i="110"/>
  <c r="J35" i="110" s="1"/>
  <c r="I34" i="110"/>
  <c r="J34" i="110" s="1"/>
  <c r="J33" i="110"/>
  <c r="I28" i="110"/>
  <c r="J28" i="110" s="1"/>
  <c r="I27" i="110"/>
  <c r="J27" i="110" s="1"/>
  <c r="I26" i="110"/>
  <c r="J26" i="110" s="1"/>
  <c r="I25" i="110"/>
  <c r="J25" i="110" s="1"/>
  <c r="I24" i="110"/>
  <c r="J24" i="110" s="1"/>
  <c r="I23" i="110"/>
  <c r="J23" i="110" s="1"/>
  <c r="I22" i="110"/>
  <c r="J22" i="110" s="1"/>
  <c r="I21" i="110"/>
  <c r="J21" i="110" s="1"/>
  <c r="I20" i="110"/>
  <c r="J20" i="110" s="1"/>
  <c r="I19" i="110"/>
  <c r="J19" i="110" s="1"/>
  <c r="I18" i="110"/>
  <c r="J18" i="110" s="1"/>
  <c r="I17" i="110"/>
  <c r="J17" i="110" s="1"/>
  <c r="I16" i="110"/>
  <c r="J16" i="110" s="1"/>
  <c r="I15" i="110"/>
  <c r="J15" i="110" s="1"/>
  <c r="I14" i="110"/>
  <c r="J14" i="110" s="1"/>
  <c r="I13" i="110"/>
  <c r="J13" i="110" s="1"/>
  <c r="I37" i="109"/>
  <c r="J7" i="115" l="1"/>
  <c r="H11" i="109"/>
  <c r="I19" i="108"/>
  <c r="I20" i="108" s="1"/>
  <c r="I27" i="102"/>
  <c r="I8" i="103" s="1"/>
  <c r="I27" i="103" s="1"/>
  <c r="I8" i="104" s="1"/>
  <c r="I27" i="104" s="1"/>
  <c r="I8" i="105" s="1"/>
  <c r="I27" i="105" s="1"/>
  <c r="F43" i="30"/>
  <c r="F5" i="31" s="1"/>
  <c r="F43" i="31" s="1"/>
  <c r="F5" i="32" s="1"/>
  <c r="F43" i="32" s="1"/>
  <c r="K27" i="35"/>
  <c r="K8" i="36" s="1"/>
  <c r="K27" i="36" s="1"/>
  <c r="H22" i="178"/>
  <c r="G22" i="178"/>
  <c r="I22" i="178"/>
  <c r="J22" i="178"/>
  <c r="J43" i="178"/>
  <c r="J25" i="177"/>
  <c r="I42" i="177"/>
  <c r="J42" i="177"/>
  <c r="K27" i="172"/>
  <c r="K9" i="173" s="1"/>
  <c r="K27" i="173" s="1"/>
  <c r="E27" i="172"/>
  <c r="E9" i="173" s="1"/>
  <c r="E27" i="173" s="1"/>
  <c r="E9" i="174" s="1"/>
  <c r="E27" i="174" s="1"/>
  <c r="E9" i="175" s="1"/>
  <c r="E27" i="175" s="1"/>
  <c r="E9" i="176" s="1"/>
  <c r="E27" i="176" s="1"/>
  <c r="F27" i="172"/>
  <c r="F9" i="173" s="1"/>
  <c r="F27" i="173" s="1"/>
  <c r="F9" i="174" s="1"/>
  <c r="F27" i="174" s="1"/>
  <c r="F9" i="175" s="1"/>
  <c r="F27" i="175" s="1"/>
  <c r="F9" i="176" s="1"/>
  <c r="F27" i="176" s="1"/>
  <c r="G27" i="172"/>
  <c r="G9" i="173" s="1"/>
  <c r="G27" i="173" s="1"/>
  <c r="G9" i="174" s="1"/>
  <c r="G27" i="174" s="1"/>
  <c r="G9" i="175" s="1"/>
  <c r="G27" i="175" s="1"/>
  <c r="G9" i="176" s="1"/>
  <c r="G27" i="176" s="1"/>
  <c r="H27" i="172"/>
  <c r="H9" i="173" s="1"/>
  <c r="H27" i="173" s="1"/>
  <c r="H9" i="174" s="1"/>
  <c r="H27" i="174" s="1"/>
  <c r="H9" i="175" s="1"/>
  <c r="H27" i="175" s="1"/>
  <c r="H9" i="176" s="1"/>
  <c r="H27" i="176" s="1"/>
  <c r="I27" i="172"/>
  <c r="I9" i="173" s="1"/>
  <c r="I27" i="173" s="1"/>
  <c r="I9" i="174" s="1"/>
  <c r="I27" i="174" s="1"/>
  <c r="I9" i="175" s="1"/>
  <c r="I27" i="175" s="1"/>
  <c r="I9" i="176" s="1"/>
  <c r="I27" i="176" s="1"/>
  <c r="J27" i="172"/>
  <c r="J9" i="173" s="1"/>
  <c r="J27" i="173" s="1"/>
  <c r="J9" i="174" s="1"/>
  <c r="J27" i="174" s="1"/>
  <c r="J9" i="175" s="1"/>
  <c r="J27" i="175" s="1"/>
  <c r="J9" i="176" s="1"/>
  <c r="J27" i="176" s="1"/>
  <c r="L27" i="172"/>
  <c r="G23" i="171"/>
  <c r="H23" i="171"/>
  <c r="K18" i="169"/>
  <c r="M23" i="169" s="1"/>
  <c r="M25" i="169" s="1"/>
  <c r="M27" i="169" s="1"/>
  <c r="G18" i="169"/>
  <c r="J18" i="169"/>
  <c r="G12" i="167"/>
  <c r="H12" i="167"/>
  <c r="G22" i="167"/>
  <c r="H23" i="167"/>
  <c r="I30" i="167"/>
  <c r="K32" i="167" s="1"/>
  <c r="G41" i="167"/>
  <c r="H41" i="167"/>
  <c r="G11" i="166"/>
  <c r="H12" i="166"/>
  <c r="G23" i="166"/>
  <c r="H23" i="166"/>
  <c r="I30" i="166"/>
  <c r="K32" i="166" s="1"/>
  <c r="G41" i="166"/>
  <c r="H41" i="166"/>
  <c r="N13" i="165"/>
  <c r="N15" i="165"/>
  <c r="L21" i="164"/>
  <c r="L24" i="164" s="1"/>
  <c r="L45" i="164"/>
  <c r="L51" i="164"/>
  <c r="L7" i="163"/>
  <c r="L44" i="163"/>
  <c r="J25" i="162"/>
  <c r="J29" i="162" s="1"/>
  <c r="I7" i="161"/>
  <c r="J9" i="161"/>
  <c r="J10" i="161"/>
  <c r="J11" i="161"/>
  <c r="J12" i="161"/>
  <c r="J13" i="161"/>
  <c r="J14" i="161"/>
  <c r="J15" i="161"/>
  <c r="H20" i="161"/>
  <c r="H22" i="161" s="1"/>
  <c r="J21" i="161"/>
  <c r="J32" i="161"/>
  <c r="J34" i="161" s="1"/>
  <c r="J39" i="161"/>
  <c r="E26" i="160"/>
  <c r="K26" i="160"/>
  <c r="G43" i="159"/>
  <c r="H16" i="157"/>
  <c r="G44" i="157"/>
  <c r="G12" i="158" s="1"/>
  <c r="G44" i="158" s="1"/>
  <c r="L35" i="163"/>
  <c r="H31" i="156"/>
  <c r="H39" i="156" s="1"/>
  <c r="L39" i="163" s="1"/>
  <c r="L9" i="173" l="1"/>
  <c r="L27" i="173" s="1"/>
  <c r="L9" i="174" s="1"/>
  <c r="L27" i="174" s="1"/>
  <c r="L9" i="175" s="1"/>
  <c r="L27" i="175" s="1"/>
  <c r="L9" i="176" s="1"/>
  <c r="L27" i="176" s="1"/>
  <c r="G23" i="167"/>
  <c r="H18" i="158"/>
  <c r="H20" i="158"/>
  <c r="H19" i="158"/>
  <c r="I25" i="177"/>
  <c r="H41" i="158"/>
  <c r="K9" i="174"/>
  <c r="K27" i="174" s="1"/>
  <c r="G12" i="166"/>
  <c r="H43" i="251"/>
  <c r="L38" i="163"/>
  <c r="K23" i="163"/>
  <c r="H43" i="205"/>
  <c r="H43" i="228"/>
  <c r="H43" i="182"/>
  <c r="H39" i="159"/>
  <c r="H43" i="159" s="1"/>
  <c r="L55" i="154"/>
  <c r="H26" i="11"/>
  <c r="G20" i="156"/>
  <c r="I20" i="161"/>
  <c r="F5" i="33"/>
  <c r="F43" i="33" s="1"/>
  <c r="F5" i="34" s="1"/>
  <c r="F43" i="34" s="1"/>
  <c r="L54" i="164"/>
  <c r="K32" i="162"/>
  <c r="J40" i="161"/>
  <c r="J7" i="161"/>
  <c r="J20" i="161" s="1"/>
  <c r="L42" i="172"/>
  <c r="L42" i="173" l="1"/>
  <c r="H23" i="158"/>
  <c r="L42" i="174"/>
  <c r="K9" i="175"/>
  <c r="K27" i="175" s="1"/>
  <c r="G44" i="248"/>
  <c r="G44" i="271"/>
  <c r="J16" i="162"/>
  <c r="L40" i="163"/>
  <c r="L45" i="163" s="1"/>
  <c r="J22" i="161"/>
  <c r="I22" i="161"/>
  <c r="L6" i="163"/>
  <c r="G21" i="156"/>
  <c r="G44" i="156" s="1"/>
  <c r="G44" i="202"/>
  <c r="G44" i="225"/>
  <c r="G44" i="179"/>
  <c r="L20" i="165"/>
  <c r="N19" i="165"/>
  <c r="N20" i="165" s="1"/>
  <c r="L42" i="175" l="1"/>
  <c r="K9" i="176"/>
  <c r="K27" i="176" s="1"/>
  <c r="H44" i="273" s="1"/>
  <c r="L5" i="163"/>
  <c r="Q8" i="3"/>
  <c r="U10" i="3"/>
  <c r="U9" i="3"/>
  <c r="D34" i="3"/>
  <c r="D42" i="3"/>
  <c r="D43" i="3"/>
  <c r="L26" i="26"/>
  <c r="B2" i="232" l="1"/>
  <c r="B46" i="277"/>
  <c r="B2" i="255"/>
  <c r="B2" i="209"/>
  <c r="C8" i="254"/>
  <c r="B46" i="254"/>
  <c r="C8" i="231"/>
  <c r="B2" i="278"/>
  <c r="B46" i="231"/>
  <c r="C8" i="208"/>
  <c r="B46" i="208"/>
  <c r="C8" i="277"/>
  <c r="B2" i="207"/>
  <c r="B2" i="276"/>
  <c r="B2" i="253"/>
  <c r="B2" i="230"/>
  <c r="H44" i="227"/>
  <c r="H44" i="250"/>
  <c r="H44" i="181"/>
  <c r="H44" i="204"/>
  <c r="H22" i="158"/>
  <c r="B46" i="185"/>
  <c r="C8" i="162"/>
  <c r="B46" i="162"/>
  <c r="B2" i="186"/>
  <c r="C8" i="185"/>
  <c r="B2" i="184"/>
  <c r="B2" i="163"/>
  <c r="B2" i="161"/>
  <c r="G4" i="103"/>
  <c r="G4" i="102"/>
  <c r="G4" i="105"/>
  <c r="G4" i="104"/>
  <c r="B41" i="293"/>
  <c r="B5" i="293"/>
  <c r="B36" i="292"/>
  <c r="G6" i="290"/>
  <c r="B45" i="269"/>
  <c r="B45" i="246"/>
  <c r="B45" i="223"/>
  <c r="B45" i="200"/>
  <c r="B45" i="292"/>
  <c r="G6" i="291"/>
  <c r="G6" i="287"/>
  <c r="H5" i="286"/>
  <c r="H5" i="263"/>
  <c r="H5" i="240"/>
  <c r="H5" i="217"/>
  <c r="H5" i="194"/>
  <c r="B31" i="293"/>
  <c r="G6" i="288"/>
  <c r="C26" i="285"/>
  <c r="B37" i="269"/>
  <c r="B9" i="269"/>
  <c r="C26" i="262"/>
  <c r="B37" i="246"/>
  <c r="B9" i="246"/>
  <c r="C26" i="239"/>
  <c r="B37" i="223"/>
  <c r="B9" i="223"/>
  <c r="C26" i="216"/>
  <c r="B37" i="200"/>
  <c r="B9" i="200"/>
  <c r="C26" i="193"/>
  <c r="J10" i="293"/>
  <c r="B37" i="292"/>
  <c r="B9" i="292"/>
  <c r="G6" i="289"/>
  <c r="B36" i="269"/>
  <c r="B36" i="246"/>
  <c r="B36" i="223"/>
  <c r="B36" i="200"/>
  <c r="G6" i="267"/>
  <c r="G6" i="268"/>
  <c r="G6" i="265"/>
  <c r="G6" i="266"/>
  <c r="G6" i="244"/>
  <c r="G6" i="245"/>
  <c r="G6" i="242"/>
  <c r="G6" i="243"/>
  <c r="G6" i="221"/>
  <c r="G6" i="222"/>
  <c r="G6" i="219"/>
  <c r="G6" i="220"/>
  <c r="G6" i="198"/>
  <c r="G6" i="199"/>
  <c r="G6" i="196"/>
  <c r="G6" i="197"/>
  <c r="H44" i="157"/>
  <c r="H12" i="158" s="1"/>
  <c r="L42" i="176"/>
  <c r="G6" i="175"/>
  <c r="G6" i="176"/>
  <c r="G6" i="173"/>
  <c r="G6" i="174"/>
  <c r="B32" i="283"/>
  <c r="B14" i="283"/>
  <c r="G36" i="283"/>
  <c r="B25" i="283"/>
  <c r="J6" i="283"/>
  <c r="B35" i="283"/>
  <c r="B3" i="283"/>
  <c r="B28" i="283"/>
  <c r="B13" i="283"/>
  <c r="B24" i="283"/>
  <c r="B32" i="260"/>
  <c r="B14" i="260"/>
  <c r="B28" i="260"/>
  <c r="B13" i="260"/>
  <c r="G36" i="260"/>
  <c r="B25" i="260"/>
  <c r="J6" i="260"/>
  <c r="B35" i="260"/>
  <c r="B24" i="260"/>
  <c r="B3" i="260"/>
  <c r="B32" i="237"/>
  <c r="B14" i="237"/>
  <c r="G36" i="237"/>
  <c r="B25" i="237"/>
  <c r="J6" i="237"/>
  <c r="B35" i="237"/>
  <c r="B24" i="237"/>
  <c r="B3" i="237"/>
  <c r="B28" i="237"/>
  <c r="B13" i="237"/>
  <c r="B32" i="214"/>
  <c r="B14" i="214"/>
  <c r="B28" i="214"/>
  <c r="B13" i="214"/>
  <c r="G36" i="214"/>
  <c r="B25" i="214"/>
  <c r="J6" i="214"/>
  <c r="B35" i="214"/>
  <c r="B24" i="214"/>
  <c r="B3" i="214"/>
  <c r="B32" i="191"/>
  <c r="B14" i="191"/>
  <c r="J6" i="191"/>
  <c r="B35" i="191"/>
  <c r="B24" i="191"/>
  <c r="B3" i="191"/>
  <c r="B28" i="191"/>
  <c r="B13" i="191"/>
  <c r="G36" i="191"/>
  <c r="B25" i="191"/>
  <c r="B32" i="168"/>
  <c r="B14" i="168"/>
  <c r="B28" i="168"/>
  <c r="B13" i="168"/>
  <c r="G36" i="168"/>
  <c r="B25" i="168"/>
  <c r="J6" i="168"/>
  <c r="B24" i="168"/>
  <c r="B3" i="168"/>
  <c r="B35" i="168"/>
  <c r="B41" i="270"/>
  <c r="J10" i="270"/>
  <c r="B31" i="270"/>
  <c r="B5" i="270"/>
  <c r="B41" i="247"/>
  <c r="B31" i="247"/>
  <c r="B5" i="247"/>
  <c r="J10" i="247"/>
  <c r="J10" i="224"/>
  <c r="B41" i="224"/>
  <c r="B31" i="224"/>
  <c r="B5" i="224"/>
  <c r="B31" i="201"/>
  <c r="B5" i="201"/>
  <c r="J10" i="201"/>
  <c r="B41" i="201"/>
  <c r="G6" i="241"/>
  <c r="G6" i="264"/>
  <c r="G6" i="195"/>
  <c r="G6" i="218"/>
  <c r="I27" i="284"/>
  <c r="D27" i="284"/>
  <c r="I23" i="284"/>
  <c r="B3" i="282"/>
  <c r="B13" i="282"/>
  <c r="G36" i="282"/>
  <c r="B28" i="282"/>
  <c r="B24" i="282"/>
  <c r="B35" i="282"/>
  <c r="B25" i="282"/>
  <c r="B14" i="282"/>
  <c r="J6" i="282"/>
  <c r="B32" i="282"/>
  <c r="B24" i="281"/>
  <c r="B14" i="281"/>
  <c r="J6" i="281"/>
  <c r="B13" i="281"/>
  <c r="B3" i="281"/>
  <c r="G36" i="281"/>
  <c r="B35" i="281"/>
  <c r="B28" i="281"/>
  <c r="B32" i="281"/>
  <c r="B25" i="281"/>
  <c r="N44" i="280"/>
  <c r="L11" i="280"/>
  <c r="J10" i="280"/>
  <c r="B54" i="279"/>
  <c r="B24" i="279"/>
  <c r="B45" i="278"/>
  <c r="B24" i="278"/>
  <c r="B23" i="278"/>
  <c r="B32" i="278"/>
  <c r="B22" i="278"/>
  <c r="E40" i="277"/>
  <c r="E49" i="277"/>
  <c r="E35" i="277"/>
  <c r="B3" i="277"/>
  <c r="B45" i="277"/>
  <c r="D27" i="261"/>
  <c r="I23" i="261"/>
  <c r="I27" i="261"/>
  <c r="B24" i="259"/>
  <c r="B32" i="259"/>
  <c r="G36" i="259"/>
  <c r="B28" i="259"/>
  <c r="B13" i="259"/>
  <c r="B35" i="259"/>
  <c r="B25" i="259"/>
  <c r="B14" i="259"/>
  <c r="J6" i="259"/>
  <c r="B3" i="259"/>
  <c r="B24" i="258"/>
  <c r="B13" i="258"/>
  <c r="G36" i="258"/>
  <c r="B28" i="258"/>
  <c r="B35" i="258"/>
  <c r="B25" i="258"/>
  <c r="B14" i="258"/>
  <c r="B32" i="258"/>
  <c r="B3" i="258"/>
  <c r="J6" i="258"/>
  <c r="N44" i="257"/>
  <c r="J10" i="257"/>
  <c r="L11" i="257"/>
  <c r="B54" i="256"/>
  <c r="B24" i="256"/>
  <c r="B45" i="255"/>
  <c r="B22" i="255"/>
  <c r="B24" i="255"/>
  <c r="B23" i="255"/>
  <c r="B32" i="255"/>
  <c r="E40" i="254"/>
  <c r="B45" i="254"/>
  <c r="E49" i="254"/>
  <c r="E35" i="254"/>
  <c r="B3" i="254"/>
  <c r="I27" i="238"/>
  <c r="D27" i="238"/>
  <c r="I23" i="238"/>
  <c r="B3" i="236"/>
  <c r="B13" i="236"/>
  <c r="G36" i="236"/>
  <c r="B28" i="236"/>
  <c r="B24" i="236"/>
  <c r="B35" i="236"/>
  <c r="B25" i="236"/>
  <c r="B14" i="236"/>
  <c r="J6" i="236"/>
  <c r="B32" i="236"/>
  <c r="B24" i="235"/>
  <c r="B32" i="235"/>
  <c r="G36" i="235"/>
  <c r="B28" i="235"/>
  <c r="B3" i="235"/>
  <c r="B35" i="235"/>
  <c r="B25" i="235"/>
  <c r="B14" i="235"/>
  <c r="J6" i="235"/>
  <c r="B13" i="235"/>
  <c r="N44" i="234"/>
  <c r="L11" i="234"/>
  <c r="J10" i="234"/>
  <c r="D41" i="3"/>
  <c r="B54" i="233"/>
  <c r="B32" i="232"/>
  <c r="B3" i="231"/>
  <c r="D27" i="215"/>
  <c r="L11" i="211"/>
  <c r="E40" i="208"/>
  <c r="B35" i="190"/>
  <c r="B25" i="190"/>
  <c r="B14" i="190"/>
  <c r="J6" i="190"/>
  <c r="B32" i="189"/>
  <c r="B24" i="189"/>
  <c r="B13" i="189"/>
  <c r="B3" i="189"/>
  <c r="B54" i="187"/>
  <c r="B32" i="186"/>
  <c r="B3" i="185"/>
  <c r="E49" i="231"/>
  <c r="I23" i="215"/>
  <c r="N44" i="211"/>
  <c r="J10" i="188"/>
  <c r="B45" i="232"/>
  <c r="B45" i="231"/>
  <c r="G36" i="213"/>
  <c r="B28" i="213"/>
  <c r="G36" i="212"/>
  <c r="B28" i="212"/>
  <c r="J10" i="211"/>
  <c r="B24" i="210"/>
  <c r="B23" i="209"/>
  <c r="E49" i="208"/>
  <c r="B32" i="190"/>
  <c r="B24" i="190"/>
  <c r="B13" i="190"/>
  <c r="B3" i="190"/>
  <c r="N44" i="188"/>
  <c r="B45" i="186"/>
  <c r="B45" i="185"/>
  <c r="B3" i="213"/>
  <c r="B45" i="209"/>
  <c r="B45" i="208"/>
  <c r="B28" i="189"/>
  <c r="E49" i="185"/>
  <c r="B24" i="232"/>
  <c r="B35" i="213"/>
  <c r="B25" i="213"/>
  <c r="B35" i="212"/>
  <c r="B25" i="212"/>
  <c r="B14" i="212"/>
  <c r="J6" i="212"/>
  <c r="B22" i="209"/>
  <c r="E35" i="208"/>
  <c r="I23" i="192"/>
  <c r="B24" i="186"/>
  <c r="G36" i="189"/>
  <c r="B24" i="187"/>
  <c r="E40" i="231"/>
  <c r="B32" i="213"/>
  <c r="B24" i="213"/>
  <c r="B14" i="213"/>
  <c r="J6" i="213"/>
  <c r="B32" i="212"/>
  <c r="B24" i="212"/>
  <c r="B13" i="212"/>
  <c r="B3" i="212"/>
  <c r="B54" i="210"/>
  <c r="B32" i="209"/>
  <c r="B3" i="208"/>
  <c r="I27" i="192"/>
  <c r="L11" i="188"/>
  <c r="E40" i="185"/>
  <c r="B23" i="232"/>
  <c r="B13" i="213"/>
  <c r="B23" i="186"/>
  <c r="B22" i="232"/>
  <c r="E35" i="231"/>
  <c r="I27" i="215"/>
  <c r="B24" i="209"/>
  <c r="G36" i="190"/>
  <c r="B28" i="190"/>
  <c r="B35" i="189"/>
  <c r="B25" i="189"/>
  <c r="B14" i="189"/>
  <c r="J6" i="189"/>
  <c r="B22" i="186"/>
  <c r="E35" i="185"/>
  <c r="B24" i="233"/>
  <c r="D27" i="192"/>
  <c r="G6" i="147"/>
  <c r="G6" i="143"/>
  <c r="G6" i="142"/>
  <c r="G6" i="148"/>
  <c r="B29" i="133"/>
  <c r="G6" i="149"/>
  <c r="G6" i="144"/>
  <c r="G4" i="101"/>
  <c r="G4" i="99"/>
  <c r="G6" i="150"/>
  <c r="G4" i="97"/>
  <c r="G6" i="145"/>
  <c r="G4" i="94"/>
  <c r="G4" i="91"/>
  <c r="G4" i="86"/>
  <c r="G4" i="81"/>
  <c r="G4" i="79"/>
  <c r="G4" i="75"/>
  <c r="G4" i="70"/>
  <c r="G4" i="64"/>
  <c r="G4" i="95"/>
  <c r="G4" i="92"/>
  <c r="G4" i="87"/>
  <c r="G4" i="82"/>
  <c r="G4" i="76"/>
  <c r="G4" i="71"/>
  <c r="G4" i="65"/>
  <c r="G6" i="146"/>
  <c r="G4" i="88"/>
  <c r="G4" i="83"/>
  <c r="G4" i="77"/>
  <c r="G4" i="66"/>
  <c r="B29" i="132"/>
  <c r="G4" i="98"/>
  <c r="G4" i="96"/>
  <c r="G4" i="89"/>
  <c r="G4" i="80"/>
  <c r="G4" i="78"/>
  <c r="G4" i="72"/>
  <c r="G4" i="67"/>
  <c r="G4" i="93"/>
  <c r="G4" i="90"/>
  <c r="G4" i="84"/>
  <c r="G4" i="73"/>
  <c r="G4" i="68"/>
  <c r="G4" i="100"/>
  <c r="G4" i="85"/>
  <c r="G4" i="74"/>
  <c r="G4" i="69"/>
  <c r="G4" i="63"/>
  <c r="G4" i="60"/>
  <c r="G4" i="58"/>
  <c r="G4" i="56"/>
  <c r="G4" i="54"/>
  <c r="G4" i="51"/>
  <c r="G4" i="50"/>
  <c r="G4" i="62"/>
  <c r="G4" i="59"/>
  <c r="G4" i="57"/>
  <c r="G4" i="55"/>
  <c r="G4" i="53"/>
  <c r="G4" i="52"/>
  <c r="G4" i="48"/>
  <c r="G4" i="46"/>
  <c r="G4" i="44"/>
  <c r="G4" i="42"/>
  <c r="G4" i="40"/>
  <c r="G4" i="38"/>
  <c r="G4" i="49"/>
  <c r="G4" i="47"/>
  <c r="G4" i="45"/>
  <c r="G4" i="43"/>
  <c r="G4" i="41"/>
  <c r="G4" i="39"/>
  <c r="G4" i="37"/>
  <c r="B41" i="178"/>
  <c r="C26" i="170"/>
  <c r="J10" i="178"/>
  <c r="B36" i="177"/>
  <c r="B35" i="167"/>
  <c r="B5" i="178"/>
  <c r="H5" i="171"/>
  <c r="D27" i="169"/>
  <c r="G36" i="167"/>
  <c r="B32" i="167"/>
  <c r="G36" i="166"/>
  <c r="B24" i="166"/>
  <c r="N44" i="165"/>
  <c r="I27" i="169"/>
  <c r="J6" i="167"/>
  <c r="B24" i="167"/>
  <c r="B35" i="166"/>
  <c r="B28" i="166"/>
  <c r="L11" i="165"/>
  <c r="B9" i="177"/>
  <c r="B31" i="178"/>
  <c r="B25" i="167"/>
  <c r="B45" i="177"/>
  <c r="I23" i="169"/>
  <c r="B13" i="167"/>
  <c r="B13" i="166"/>
  <c r="B25" i="166"/>
  <c r="B28" i="167"/>
  <c r="B14" i="166"/>
  <c r="J6" i="166"/>
  <c r="J10" i="165"/>
  <c r="B37" i="177"/>
  <c r="G6" i="172"/>
  <c r="B3" i="167"/>
  <c r="B3" i="166"/>
  <c r="B14" i="167"/>
  <c r="B32" i="166"/>
  <c r="B54" i="164"/>
  <c r="B24" i="163"/>
  <c r="E49" i="162"/>
  <c r="B45" i="163"/>
  <c r="B24" i="164"/>
  <c r="B23" i="163"/>
  <c r="B45" i="162"/>
  <c r="B3" i="162"/>
  <c r="B22" i="163"/>
  <c r="B32" i="163"/>
  <c r="E35" i="162"/>
  <c r="E40" i="162"/>
  <c r="Q9" i="3"/>
  <c r="D49" i="3"/>
  <c r="D44" i="3"/>
  <c r="D47" i="3"/>
  <c r="D46" i="3"/>
  <c r="D35" i="3"/>
  <c r="C13" i="123" s="1"/>
  <c r="C38" i="3"/>
  <c r="I34" i="29"/>
  <c r="I33" i="29"/>
  <c r="I32" i="29"/>
  <c r="I31" i="29"/>
  <c r="I26" i="29"/>
  <c r="I25" i="29"/>
  <c r="I24" i="29"/>
  <c r="I23" i="29"/>
  <c r="I22" i="29"/>
  <c r="I21" i="29"/>
  <c r="I20" i="29"/>
  <c r="I19" i="29"/>
  <c r="I18" i="29"/>
  <c r="I17" i="29"/>
  <c r="I16" i="29"/>
  <c r="I15" i="29"/>
  <c r="G12" i="27" s="1"/>
  <c r="I14" i="29"/>
  <c r="I13" i="29"/>
  <c r="G20" i="16" s="1"/>
  <c r="G44" i="16" s="1"/>
  <c r="G9" i="17" s="1"/>
  <c r="G44" i="17" s="1"/>
  <c r="G9" i="18" s="1"/>
  <c r="G44" i="18" s="1"/>
  <c r="G9" i="19" s="1"/>
  <c r="G44" i="19" s="1"/>
  <c r="G9" i="20" s="1"/>
  <c r="G44" i="20" s="1"/>
  <c r="I55" i="20" s="1"/>
  <c r="I12" i="29"/>
  <c r="G11" i="16" s="1"/>
  <c r="G17" i="16" s="1"/>
  <c r="I11" i="29"/>
  <c r="G41" i="15" s="1"/>
  <c r="G45" i="15" s="1"/>
  <c r="I10" i="29"/>
  <c r="G31" i="15" s="1"/>
  <c r="G38" i="15" s="1"/>
  <c r="I9" i="29"/>
  <c r="G20" i="15" s="1"/>
  <c r="G28" i="15" s="1"/>
  <c r="I8" i="29"/>
  <c r="G11" i="15" s="1"/>
  <c r="G17" i="15" s="1"/>
  <c r="G27" i="61"/>
  <c r="G8" i="62" s="1"/>
  <c r="G27" i="62" s="1"/>
  <c r="G8" i="63" s="1"/>
  <c r="G27" i="63" s="1"/>
  <c r="G8" i="64" s="1"/>
  <c r="G27" i="64" s="1"/>
  <c r="G8" i="65" s="1"/>
  <c r="G27" i="65" s="1"/>
  <c r="G8" i="66" s="1"/>
  <c r="G27" i="66" s="1"/>
  <c r="G8" i="67" s="1"/>
  <c r="G27" i="67" s="1"/>
  <c r="G8" i="68" s="1"/>
  <c r="G27" i="68" s="1"/>
  <c r="G8" i="69" s="1"/>
  <c r="G27" i="69" s="1"/>
  <c r="G8" i="70" s="1"/>
  <c r="G27" i="70" s="1"/>
  <c r="G8" i="71" s="1"/>
  <c r="G27" i="71" s="1"/>
  <c r="G8" i="72" s="1"/>
  <c r="G27" i="72" s="1"/>
  <c r="G8" i="73" s="1"/>
  <c r="G27" i="73" s="1"/>
  <c r="G8" i="74" s="1"/>
  <c r="G27" i="74" s="1"/>
  <c r="G8" i="75" s="1"/>
  <c r="G27" i="75" s="1"/>
  <c r="G8" i="76" s="1"/>
  <c r="G27" i="76" s="1"/>
  <c r="G8" i="77" s="1"/>
  <c r="G27" i="77" s="1"/>
  <c r="G8" i="78" s="1"/>
  <c r="G27" i="78" s="1"/>
  <c r="G8" i="79" s="1"/>
  <c r="G27" i="79" s="1"/>
  <c r="G8" i="80" s="1"/>
  <c r="G27" i="80" s="1"/>
  <c r="G8" i="81" s="1"/>
  <c r="G27" i="81" s="1"/>
  <c r="G8" i="82" s="1"/>
  <c r="G27" i="82" s="1"/>
  <c r="G8" i="83" s="1"/>
  <c r="G27" i="83" s="1"/>
  <c r="G8" i="84" s="1"/>
  <c r="G27" i="84" s="1"/>
  <c r="G8" i="85" s="1"/>
  <c r="G27" i="85" s="1"/>
  <c r="G8" i="86" s="1"/>
  <c r="G27" i="86" s="1"/>
  <c r="G8" i="87" s="1"/>
  <c r="G27" i="87" s="1"/>
  <c r="G8" i="88" s="1"/>
  <c r="G27" i="88" s="1"/>
  <c r="G8" i="89" s="1"/>
  <c r="G27" i="89" s="1"/>
  <c r="G8" i="90" s="1"/>
  <c r="G27" i="90" s="1"/>
  <c r="G8" i="91" s="1"/>
  <c r="G27" i="91" s="1"/>
  <c r="G8" i="92" s="1"/>
  <c r="G27" i="92" s="1"/>
  <c r="G8" i="93" s="1"/>
  <c r="G27" i="93" s="1"/>
  <c r="G8" i="94" s="1"/>
  <c r="G27" i="94" s="1"/>
  <c r="G8" i="95" s="1"/>
  <c r="G27" i="95" s="1"/>
  <c r="G8" i="96" s="1"/>
  <c r="G27" i="96" s="1"/>
  <c r="G8" i="97" s="1"/>
  <c r="G27" i="97" s="1"/>
  <c r="G8" i="98" s="1"/>
  <c r="G27" i="98" s="1"/>
  <c r="G8" i="99" s="1"/>
  <c r="G27" i="99" s="1"/>
  <c r="G8" i="100" s="1"/>
  <c r="G27" i="100" s="1"/>
  <c r="G8" i="101" s="1"/>
  <c r="G27" i="101" s="1"/>
  <c r="B6" i="153" l="1"/>
  <c r="B4" i="120"/>
  <c r="B9" i="274"/>
  <c r="B6" i="12"/>
  <c r="H44" i="158"/>
  <c r="B7" i="273"/>
  <c r="B7" i="272"/>
  <c r="B7" i="250"/>
  <c r="B7" i="249"/>
  <c r="B7" i="227"/>
  <c r="B7" i="226"/>
  <c r="B7" i="204"/>
  <c r="B7" i="203"/>
  <c r="B7" i="181"/>
  <c r="B7" i="180"/>
  <c r="B7" i="158"/>
  <c r="G7" i="286"/>
  <c r="G7" i="263"/>
  <c r="G7" i="240"/>
  <c r="G7" i="217"/>
  <c r="G8" i="285"/>
  <c r="G8" i="262"/>
  <c r="G8" i="239"/>
  <c r="G8" i="216"/>
  <c r="G8" i="193"/>
  <c r="G7" i="194"/>
  <c r="B6" i="28"/>
  <c r="C18" i="277"/>
  <c r="C18" i="208"/>
  <c r="C18" i="162"/>
  <c r="C18" i="254"/>
  <c r="C18" i="185"/>
  <c r="C18" i="231"/>
  <c r="N11" i="280"/>
  <c r="G8" i="284"/>
  <c r="B8" i="278"/>
  <c r="B6" i="279"/>
  <c r="B36" i="279"/>
  <c r="B48" i="277"/>
  <c r="B44" i="277"/>
  <c r="G8" i="261"/>
  <c r="L6" i="275"/>
  <c r="B9" i="251"/>
  <c r="B7" i="271"/>
  <c r="L6" i="252"/>
  <c r="N11" i="257"/>
  <c r="B8" i="255"/>
  <c r="B6" i="256"/>
  <c r="B36" i="256"/>
  <c r="B48" i="254"/>
  <c r="B44" i="254"/>
  <c r="B7" i="248"/>
  <c r="N11" i="234"/>
  <c r="G8" i="238"/>
  <c r="F6" i="104"/>
  <c r="F6" i="99"/>
  <c r="F6" i="105"/>
  <c r="F6" i="97"/>
  <c r="F6" i="100"/>
  <c r="F6" i="95"/>
  <c r="F6" i="92"/>
  <c r="F6" i="87"/>
  <c r="F6" i="82"/>
  <c r="F6" i="76"/>
  <c r="F6" i="71"/>
  <c r="F6" i="65"/>
  <c r="F6" i="88"/>
  <c r="F6" i="83"/>
  <c r="F6" i="77"/>
  <c r="F6" i="66"/>
  <c r="F6" i="98"/>
  <c r="F6" i="96"/>
  <c r="F6" i="89"/>
  <c r="F6" i="80"/>
  <c r="F6" i="78"/>
  <c r="F6" i="72"/>
  <c r="F6" i="67"/>
  <c r="F6" i="101"/>
  <c r="F6" i="93"/>
  <c r="F6" i="90"/>
  <c r="F6" i="84"/>
  <c r="F6" i="73"/>
  <c r="F6" i="68"/>
  <c r="F6" i="85"/>
  <c r="F6" i="74"/>
  <c r="F6" i="69"/>
  <c r="F6" i="63"/>
  <c r="F6" i="103"/>
  <c r="F6" i="94"/>
  <c r="F6" i="91"/>
  <c r="F6" i="86"/>
  <c r="F6" i="81"/>
  <c r="F6" i="79"/>
  <c r="F6" i="75"/>
  <c r="F6" i="70"/>
  <c r="F6" i="64"/>
  <c r="F6" i="62"/>
  <c r="L6" i="206"/>
  <c r="L6" i="229"/>
  <c r="G8" i="192"/>
  <c r="L6" i="183"/>
  <c r="N11" i="188"/>
  <c r="G8" i="215"/>
  <c r="N11" i="211"/>
  <c r="K6" i="105"/>
  <c r="L6" i="97"/>
  <c r="G8" i="136"/>
  <c r="L6" i="100"/>
  <c r="L6" i="98"/>
  <c r="L6" i="88"/>
  <c r="L6" i="83"/>
  <c r="L6" i="77"/>
  <c r="L6" i="66"/>
  <c r="L6" i="99"/>
  <c r="L6" i="96"/>
  <c r="L6" i="89"/>
  <c r="L6" i="80"/>
  <c r="L6" i="78"/>
  <c r="L6" i="72"/>
  <c r="L6" i="67"/>
  <c r="K6" i="104"/>
  <c r="L6" i="101"/>
  <c r="L6" i="93"/>
  <c r="L6" i="90"/>
  <c r="L6" i="84"/>
  <c r="L6" i="73"/>
  <c r="L6" i="68"/>
  <c r="L6" i="85"/>
  <c r="L6" i="74"/>
  <c r="L6" i="69"/>
  <c r="L6" i="63"/>
  <c r="G8" i="137"/>
  <c r="K6" i="103"/>
  <c r="L6" i="94"/>
  <c r="L6" i="91"/>
  <c r="L6" i="86"/>
  <c r="L6" i="81"/>
  <c r="L6" i="79"/>
  <c r="L6" i="75"/>
  <c r="L6" i="70"/>
  <c r="L6" i="64"/>
  <c r="L6" i="95"/>
  <c r="L6" i="92"/>
  <c r="L6" i="87"/>
  <c r="L6" i="82"/>
  <c r="L6" i="76"/>
  <c r="L6" i="71"/>
  <c r="L6" i="65"/>
  <c r="L6" i="62"/>
  <c r="M8" i="25"/>
  <c r="M8" i="23"/>
  <c r="M8" i="24"/>
  <c r="M8" i="22"/>
  <c r="G8" i="170"/>
  <c r="G7" i="171"/>
  <c r="G8" i="169"/>
  <c r="N11" i="165"/>
  <c r="L6" i="160"/>
  <c r="H22" i="6"/>
  <c r="B7" i="179"/>
  <c r="B9" i="228"/>
  <c r="B9" i="182"/>
  <c r="B9" i="205"/>
  <c r="B7" i="202"/>
  <c r="B7" i="225"/>
  <c r="B6" i="20"/>
  <c r="B6" i="17"/>
  <c r="B6" i="18"/>
  <c r="B6" i="19"/>
  <c r="B7" i="157"/>
  <c r="B9" i="159"/>
  <c r="B7" i="156"/>
  <c r="Q10" i="3"/>
  <c r="B6" i="233"/>
  <c r="B36" i="210"/>
  <c r="B6" i="187"/>
  <c r="B8" i="209"/>
  <c r="B44" i="231"/>
  <c r="B48" i="208"/>
  <c r="B44" i="185"/>
  <c r="B8" i="232"/>
  <c r="B8" i="186"/>
  <c r="B36" i="233"/>
  <c r="B6" i="210"/>
  <c r="B36" i="187"/>
  <c r="B48" i="231"/>
  <c r="B44" i="208"/>
  <c r="B48" i="185"/>
  <c r="B48" i="162"/>
  <c r="B44" i="162"/>
  <c r="B36" i="164"/>
  <c r="B8" i="163"/>
  <c r="B6" i="164"/>
  <c r="D45" i="3"/>
  <c r="H9" i="280" s="1"/>
  <c r="D48" i="3"/>
  <c r="H9" i="257" l="1"/>
  <c r="E6" i="275"/>
  <c r="H9" i="234"/>
  <c r="E6" i="252"/>
  <c r="E6" i="183"/>
  <c r="E6" i="229"/>
  <c r="H9" i="211"/>
  <c r="E6" i="206"/>
  <c r="H9" i="188"/>
  <c r="G6" i="24"/>
  <c r="G6" i="23"/>
  <c r="G6" i="25"/>
  <c r="G6" i="22"/>
  <c r="H9" i="165"/>
  <c r="E6" i="160"/>
  <c r="Q11" i="3"/>
  <c r="M10" i="21"/>
  <c r="Q12" i="3" l="1"/>
  <c r="M22" i="125"/>
  <c r="I15" i="109" s="1"/>
  <c r="Q13" i="3" l="1"/>
  <c r="M20" i="21"/>
  <c r="M21" i="21"/>
  <c r="M22" i="21"/>
  <c r="M23" i="21"/>
  <c r="M24" i="21"/>
  <c r="M25" i="21"/>
  <c r="M15" i="21"/>
  <c r="Q14" i="3" l="1"/>
  <c r="M19" i="21"/>
  <c r="Q15" i="3" l="1"/>
  <c r="M17" i="21"/>
  <c r="M18" i="21"/>
  <c r="M16" i="21"/>
  <c r="Q16" i="3" l="1"/>
  <c r="Q17" i="3" s="1"/>
  <c r="Q18" i="3" s="1"/>
  <c r="Q19" i="3" s="1"/>
  <c r="Q20" i="3" s="1"/>
  <c r="Q21" i="3" s="1"/>
  <c r="Q22" i="3" s="1"/>
  <c r="Q23" i="3" s="1"/>
  <c r="Q24" i="3" s="1"/>
  <c r="Q25" i="3" s="1"/>
  <c r="Q26" i="3" s="1"/>
  <c r="Q27" i="3" s="1"/>
  <c r="Q28" i="3" s="1"/>
  <c r="Q29" i="3" s="1"/>
  <c r="Q30" i="3" s="1"/>
  <c r="Q31" i="3" s="1"/>
  <c r="Q32" i="3" s="1"/>
  <c r="Q33" i="3" s="1"/>
  <c r="Q34" i="3" s="1"/>
  <c r="Q35" i="3" s="1"/>
  <c r="Q36" i="3" s="1"/>
  <c r="Q37" i="3" s="1"/>
  <c r="Q38" i="3" s="1"/>
  <c r="Q39" i="3" s="1"/>
  <c r="Q40" i="3" s="1"/>
  <c r="Q41" i="3" s="1"/>
  <c r="Q42" i="3" s="1"/>
  <c r="Q43" i="3" s="1"/>
  <c r="Q44" i="3" s="1"/>
  <c r="Q45" i="3" s="1"/>
  <c r="Q46" i="3" s="1"/>
  <c r="Q47" i="3" s="1"/>
  <c r="Q48" i="3" s="1"/>
  <c r="Q49" i="3" s="1"/>
  <c r="Q50" i="3" s="1"/>
  <c r="Q51" i="3" s="1"/>
  <c r="Q52" i="3" s="1"/>
  <c r="Q53" i="3" s="1"/>
  <c r="Q54" i="3" s="1"/>
  <c r="Q55" i="3" s="1"/>
  <c r="Q56" i="3" s="1"/>
  <c r="Q57" i="3" s="1"/>
  <c r="Q58" i="3" s="1"/>
  <c r="Q59" i="3" s="1"/>
  <c r="Q60" i="3" s="1"/>
  <c r="Q61" i="3" s="1"/>
  <c r="Q62" i="3" s="1"/>
  <c r="Q63" i="3" s="1"/>
  <c r="Q64" i="3" s="1"/>
  <c r="Q65" i="3" s="1"/>
  <c r="Q66" i="3" s="1"/>
  <c r="Q67" i="3" s="1"/>
  <c r="Q68" i="3" s="1"/>
  <c r="Q69" i="3" s="1"/>
  <c r="Q70" i="3" s="1"/>
  <c r="Q71" i="3" s="1"/>
  <c r="Q72" i="3" s="1"/>
  <c r="Q73" i="3" s="1"/>
  <c r="Q74" i="3" s="1"/>
  <c r="Q75" i="3" s="1"/>
  <c r="Q76" i="3" s="1"/>
  <c r="Q77" i="3" s="1"/>
  <c r="Q78" i="3" s="1"/>
  <c r="Q79" i="3" s="1"/>
  <c r="Q80" i="3" s="1"/>
  <c r="Q81" i="3" s="1"/>
  <c r="Q82" i="3" s="1"/>
  <c r="Q83" i="3" s="1"/>
  <c r="Q84" i="3" s="1"/>
  <c r="Q85" i="3" s="1"/>
  <c r="Q86" i="3" s="1"/>
  <c r="Q87" i="3" s="1"/>
  <c r="Q88" i="3" s="1"/>
  <c r="Q89" i="3" s="1"/>
  <c r="Q90" i="3" s="1"/>
  <c r="Q91" i="3" s="1"/>
  <c r="Q92" i="3" s="1"/>
  <c r="Q93" i="3" s="1"/>
  <c r="Q94" i="3" s="1"/>
  <c r="Q95" i="3" s="1"/>
  <c r="Q96" i="3" s="1"/>
  <c r="Q97" i="3" s="1"/>
  <c r="Q98" i="3" s="1"/>
  <c r="Q99" i="3" s="1"/>
  <c r="Q100" i="3" s="1"/>
  <c r="Q101" i="3" s="1"/>
  <c r="Q102" i="3" s="1"/>
  <c r="Q103" i="3" s="1"/>
  <c r="Q104" i="3" s="1"/>
  <c r="Q105" i="3" s="1"/>
  <c r="Q106" i="3" s="1"/>
  <c r="Q107" i="3" s="1"/>
  <c r="Q108" i="3" s="1"/>
  <c r="Q109" i="3" s="1"/>
  <c r="Q110" i="3" s="1"/>
  <c r="Q111" i="3" s="1"/>
  <c r="Q112" i="3" s="1"/>
  <c r="Q113" i="3" s="1"/>
  <c r="Q114" i="3" s="1"/>
  <c r="Q115" i="3" s="1"/>
  <c r="Q116" i="3" s="1"/>
  <c r="Q117" i="3" s="1"/>
  <c r="Q118" i="3" s="1"/>
  <c r="Q119" i="3" s="1"/>
  <c r="Q120" i="3" s="1"/>
  <c r="Q121" i="3" s="1"/>
  <c r="Q122" i="3" s="1"/>
  <c r="Q123" i="3" s="1"/>
  <c r="Q124" i="3" s="1"/>
  <c r="Q125" i="3" s="1"/>
  <c r="Q126" i="3" s="1"/>
  <c r="Q127" i="3" s="1"/>
  <c r="Q128" i="3" s="1"/>
  <c r="Q129" i="3" s="1"/>
  <c r="Q130" i="3" s="1"/>
  <c r="Q131" i="3" s="1"/>
  <c r="Q132" i="3" s="1"/>
  <c r="Q133" i="3" s="1"/>
  <c r="Q134" i="3" s="1"/>
  <c r="Q135" i="3" s="1"/>
  <c r="Q136" i="3" s="1"/>
  <c r="Q137" i="3" s="1"/>
  <c r="Q138" i="3" s="1"/>
  <c r="Q139" i="3" s="1"/>
  <c r="Q140" i="3" s="1"/>
  <c r="Q141" i="3" s="1"/>
  <c r="Q142" i="3" s="1"/>
  <c r="Q143" i="3" s="1"/>
  <c r="Q144" i="3" s="1"/>
  <c r="Q145" i="3" s="1"/>
  <c r="Q146" i="3" s="1"/>
  <c r="Q147" i="3" s="1"/>
  <c r="Q148" i="3" s="1"/>
  <c r="Q149" i="3" s="1"/>
  <c r="Q150" i="3" s="1"/>
  <c r="Q151" i="3" s="1"/>
  <c r="Q152" i="3" s="1"/>
  <c r="Q153" i="3" s="1"/>
  <c r="Q154" i="3" s="1"/>
  <c r="Q155" i="3" s="1"/>
  <c r="Q156" i="3" s="1"/>
  <c r="Q157" i="3" s="1"/>
  <c r="Q158" i="3" s="1"/>
  <c r="Q159" i="3" s="1"/>
  <c r="Q160" i="3" s="1"/>
  <c r="Q161" i="3" s="1"/>
  <c r="Q162" i="3" s="1"/>
  <c r="Q163" i="3" s="1"/>
  <c r="Q164" i="3" s="1"/>
  <c r="Q165" i="3" s="1"/>
  <c r="Q166" i="3" s="1"/>
  <c r="Q167" i="3" s="1"/>
  <c r="Q168" i="3" s="1"/>
  <c r="Q169" i="3" s="1"/>
  <c r="Q170" i="3" s="1"/>
  <c r="Q171" i="3" s="1"/>
  <c r="Q172" i="3" s="1"/>
  <c r="Q173" i="3" s="1"/>
  <c r="Q174" i="3" s="1"/>
  <c r="Q175" i="3" s="1"/>
  <c r="Q176" i="3" s="1"/>
  <c r="Q177" i="3" s="1"/>
  <c r="Q178" i="3" s="1"/>
  <c r="Q179" i="3" s="1"/>
  <c r="Q180" i="3" s="1"/>
  <c r="Q181" i="3" s="1"/>
  <c r="Q182" i="3" s="1"/>
  <c r="Q183" i="3" s="1"/>
  <c r="Q184" i="3" s="1"/>
  <c r="Q185" i="3" s="1"/>
  <c r="Q186" i="3" s="1"/>
  <c r="Q187" i="3" s="1"/>
  <c r="Q188" i="3" s="1"/>
  <c r="Q189" i="3" s="1"/>
  <c r="Q190" i="3" s="1"/>
  <c r="Q191" i="3" s="1"/>
  <c r="Q192" i="3" s="1"/>
  <c r="Q193" i="3" s="1"/>
  <c r="Q194" i="3" s="1"/>
  <c r="Q195" i="3" s="1"/>
  <c r="Q196" i="3" s="1"/>
  <c r="Q197" i="3" s="1"/>
  <c r="Q198" i="3" s="1"/>
  <c r="Q199" i="3" s="1"/>
  <c r="Q200" i="3" s="1"/>
  <c r="Q201" i="3" s="1"/>
  <c r="Q202" i="3" s="1"/>
  <c r="Q203" i="3" s="1"/>
  <c r="Q204" i="3" s="1"/>
  <c r="Q205" i="3" s="1"/>
  <c r="Q206" i="3" s="1"/>
  <c r="Q207" i="3" s="1"/>
  <c r="Q208" i="3" s="1"/>
  <c r="Q209" i="3" s="1"/>
  <c r="Q210" i="3" s="1"/>
  <c r="Q211" i="3" s="1"/>
  <c r="Q212" i="3" s="1"/>
  <c r="Q213" i="3" s="1"/>
  <c r="Q214" i="3" s="1"/>
  <c r="Q215" i="3" s="1"/>
  <c r="Q216" i="3" s="1"/>
  <c r="Q217" i="3" s="1"/>
  <c r="Q218" i="3" s="1"/>
  <c r="Q219" i="3" s="1"/>
  <c r="Q220" i="3" s="1"/>
  <c r="Q221" i="3" s="1"/>
  <c r="Q222" i="3" s="1"/>
  <c r="Q223" i="3" s="1"/>
  <c r="Q224" i="3" s="1"/>
  <c r="Q225" i="3" s="1"/>
  <c r="Q226" i="3" s="1"/>
  <c r="Q227" i="3" s="1"/>
  <c r="Q228" i="3" s="1"/>
  <c r="Q229" i="3" s="1"/>
  <c r="Q230" i="3" s="1"/>
  <c r="Q231" i="3" s="1"/>
  <c r="Q232" i="3" s="1"/>
  <c r="Q233" i="3" s="1"/>
  <c r="Q234" i="3" s="1"/>
  <c r="Q235" i="3" s="1"/>
  <c r="Q236" i="3" s="1"/>
  <c r="Q237" i="3" s="1"/>
  <c r="Q238" i="3" s="1"/>
  <c r="Q239" i="3" s="1"/>
  <c r="Q240" i="3" s="1"/>
  <c r="Q241" i="3" s="1"/>
  <c r="Q242" i="3" s="1"/>
  <c r="Q243" i="3" s="1"/>
  <c r="Q244" i="3" s="1"/>
  <c r="Q245" i="3" s="1"/>
  <c r="Q246" i="3" s="1"/>
  <c r="Q247" i="3" s="1"/>
  <c r="Q248" i="3" s="1"/>
  <c r="Q249" i="3" s="1"/>
  <c r="Q250" i="3" s="1"/>
  <c r="Q251" i="3" s="1"/>
  <c r="Q252" i="3" s="1"/>
  <c r="Q253" i="3" s="1"/>
  <c r="Q254" i="3" s="1"/>
  <c r="Q255" i="3" s="1"/>
  <c r="Q256" i="3" s="1"/>
  <c r="Q257" i="3" s="1"/>
  <c r="Q258" i="3" s="1"/>
  <c r="Q259" i="3" s="1"/>
  <c r="Q260" i="3" s="1"/>
  <c r="Q261" i="3" s="1"/>
  <c r="Q262" i="3" s="1"/>
  <c r="Q263" i="3" s="1"/>
  <c r="Q264" i="3" s="1"/>
  <c r="Q265" i="3" s="1"/>
  <c r="Q266" i="3" s="1"/>
  <c r="Q267" i="3" s="1"/>
  <c r="Q268" i="3" s="1"/>
  <c r="Q269" i="3" s="1"/>
  <c r="Q270" i="3" s="1"/>
  <c r="Q271" i="3" s="1"/>
  <c r="Q272" i="3" s="1"/>
  <c r="Q273" i="3" s="1"/>
  <c r="Q274" i="3" s="1"/>
  <c r="Q275" i="3" s="1"/>
  <c r="Q276" i="3" s="1"/>
  <c r="Q277" i="3" s="1"/>
  <c r="Q278" i="3" s="1"/>
  <c r="Q279" i="3" s="1"/>
  <c r="Q280" i="3" s="1"/>
  <c r="Q281" i="3" s="1"/>
  <c r="Q282" i="3" s="1"/>
  <c r="Q283" i="3" s="1"/>
  <c r="Q284" i="3" s="1"/>
  <c r="Q285" i="3" s="1"/>
  <c r="Q286" i="3" s="1"/>
  <c r="Q287" i="3" s="1"/>
  <c r="Q288" i="3" s="1"/>
  <c r="Q289" i="3" s="1"/>
  <c r="Q290" i="3" s="1"/>
  <c r="Q291" i="3" s="1"/>
  <c r="Q292" i="3" s="1"/>
  <c r="Q293" i="3" s="1"/>
  <c r="Q294" i="3" s="1"/>
  <c r="Q295" i="3" s="1"/>
  <c r="Q296" i="3" s="1"/>
  <c r="Q297" i="3" s="1"/>
  <c r="Q298" i="3" s="1"/>
  <c r="Q299" i="3" s="1"/>
  <c r="Q300" i="3" s="1"/>
  <c r="Q301" i="3" s="1"/>
  <c r="Q302" i="3" s="1"/>
  <c r="Q303" i="3" s="1"/>
  <c r="Q304" i="3" s="1"/>
  <c r="Q305" i="3" s="1"/>
  <c r="Q306" i="3" s="1"/>
  <c r="Q307" i="3" s="1"/>
  <c r="Q308" i="3" s="1"/>
  <c r="Q309" i="3" s="1"/>
  <c r="Q310" i="3" s="1"/>
  <c r="Q311" i="3" s="1"/>
  <c r="Q312" i="3" s="1"/>
  <c r="Q313" i="3" s="1"/>
  <c r="Q314" i="3" s="1"/>
  <c r="Q315" i="3" s="1"/>
  <c r="Q316" i="3" s="1"/>
  <c r="Q317" i="3" s="1"/>
  <c r="Q318" i="3" s="1"/>
  <c r="Q319" i="3" s="1"/>
  <c r="Q320" i="3" s="1"/>
  <c r="Q321" i="3" s="1"/>
  <c r="Q322" i="3" s="1"/>
  <c r="Q323" i="3" s="1"/>
  <c r="Q324" i="3" s="1"/>
  <c r="Q325" i="3" s="1"/>
  <c r="Q326" i="3" s="1"/>
  <c r="Q327" i="3" s="1"/>
  <c r="Q328" i="3" s="1"/>
  <c r="Q329" i="3" s="1"/>
  <c r="Q330" i="3" s="1"/>
  <c r="Q331" i="3" s="1"/>
  <c r="Q332" i="3" s="1"/>
  <c r="Q333" i="3" s="1"/>
  <c r="Q334" i="3" s="1"/>
  <c r="Q335" i="3" s="1"/>
  <c r="Q336" i="3" s="1"/>
  <c r="Q337" i="3" s="1"/>
  <c r="Q338" i="3" s="1"/>
  <c r="Q339" i="3" s="1"/>
  <c r="Q340" i="3" s="1"/>
  <c r="Q341" i="3" s="1"/>
  <c r="Q342" i="3" s="1"/>
  <c r="Q343" i="3" s="1"/>
  <c r="Q344" i="3" s="1"/>
  <c r="Q345" i="3" s="1"/>
  <c r="Q346" i="3" s="1"/>
  <c r="Q347" i="3" s="1"/>
  <c r="Q348" i="3" s="1"/>
  <c r="Q349" i="3" s="1"/>
  <c r="Q350" i="3" s="1"/>
  <c r="Q351" i="3" s="1"/>
  <c r="Q352" i="3" s="1"/>
  <c r="Q353" i="3" s="1"/>
  <c r="Q354" i="3" s="1"/>
  <c r="Q355" i="3" s="1"/>
  <c r="Q356" i="3" s="1"/>
  <c r="Q357" i="3" s="1"/>
  <c r="Q358" i="3" s="1"/>
  <c r="Q359" i="3" s="1"/>
  <c r="Q360" i="3" s="1"/>
  <c r="Q361" i="3" s="1"/>
  <c r="Q362" i="3" s="1"/>
  <c r="Q363" i="3" s="1"/>
  <c r="Q364" i="3" s="1"/>
  <c r="Q365" i="3" s="1"/>
  <c r="Q366" i="3" s="1"/>
  <c r="Q367" i="3" s="1"/>
  <c r="Q368" i="3" s="1"/>
  <c r="Q369" i="3" s="1"/>
  <c r="Q370" i="3" s="1"/>
  <c r="Q371" i="3" s="1"/>
  <c r="Q372" i="3" s="1"/>
  <c r="Q373" i="3" s="1"/>
  <c r="Q374" i="3" s="1"/>
  <c r="Q375" i="3" s="1"/>
  <c r="Q376" i="3" s="1"/>
  <c r="Q377" i="3" s="1"/>
  <c r="Q378" i="3" s="1"/>
  <c r="Q379" i="3" s="1"/>
  <c r="Q380" i="3" s="1"/>
  <c r="Q381" i="3" s="1"/>
  <c r="Q382" i="3" s="1"/>
  <c r="Q383" i="3" s="1"/>
  <c r="Q384" i="3" s="1"/>
  <c r="Q385" i="3" s="1"/>
  <c r="Q386" i="3" s="1"/>
  <c r="Q387" i="3" s="1"/>
  <c r="Q388" i="3" s="1"/>
  <c r="Q389" i="3" s="1"/>
  <c r="Q390" i="3" s="1"/>
  <c r="Q391" i="3" s="1"/>
  <c r="Q392" i="3" s="1"/>
  <c r="Q393" i="3" s="1"/>
  <c r="Q394" i="3" s="1"/>
  <c r="Q395" i="3" s="1"/>
  <c r="Q396" i="3" s="1"/>
  <c r="Q397" i="3" s="1"/>
  <c r="Q398" i="3" s="1"/>
  <c r="Q399" i="3" s="1"/>
  <c r="Q400" i="3" s="1"/>
  <c r="Q401" i="3" s="1"/>
  <c r="Q402" i="3" s="1"/>
  <c r="Q403" i="3" s="1"/>
  <c r="Q404" i="3" s="1"/>
  <c r="Q405" i="3" s="1"/>
  <c r="Q406" i="3" s="1"/>
  <c r="Q407" i="3" s="1"/>
  <c r="Q408" i="3" s="1"/>
  <c r="Q409" i="3" s="1"/>
  <c r="Q410" i="3" s="1"/>
  <c r="Q411" i="3" s="1"/>
  <c r="Q412" i="3" s="1"/>
  <c r="Q413" i="3" s="1"/>
  <c r="Q414" i="3" s="1"/>
  <c r="Q415" i="3" s="1"/>
  <c r="Q416" i="3" s="1"/>
  <c r="Q417" i="3" s="1"/>
  <c r="Q418" i="3" s="1"/>
  <c r="Q419" i="3" s="1"/>
  <c r="Q420" i="3" s="1"/>
  <c r="Q421" i="3" s="1"/>
  <c r="Q422" i="3" s="1"/>
  <c r="Q423" i="3" s="1"/>
  <c r="Q424" i="3" s="1"/>
  <c r="Q425" i="3" s="1"/>
  <c r="Q426" i="3" s="1"/>
  <c r="Q427" i="3" s="1"/>
  <c r="Q428" i="3" s="1"/>
  <c r="Q429" i="3" s="1"/>
  <c r="Q430" i="3" s="1"/>
  <c r="Q431" i="3" s="1"/>
  <c r="Q432" i="3" s="1"/>
  <c r="Q433" i="3" s="1"/>
  <c r="Q434" i="3" s="1"/>
  <c r="Q435" i="3" s="1"/>
  <c r="Q436" i="3" s="1"/>
  <c r="Q437" i="3" s="1"/>
  <c r="Q438" i="3" s="1"/>
  <c r="Q439" i="3" s="1"/>
  <c r="Q440" i="3" s="1"/>
  <c r="Q441" i="3" s="1"/>
  <c r="Q442" i="3" s="1"/>
  <c r="Q443" i="3" s="1"/>
  <c r="Q444" i="3" s="1"/>
  <c r="Q445" i="3" s="1"/>
  <c r="Q446" i="3" s="1"/>
  <c r="Q447" i="3" s="1"/>
  <c r="Q448" i="3" s="1"/>
  <c r="Q449" i="3" s="1"/>
  <c r="Q450" i="3" s="1"/>
  <c r="Q451" i="3" s="1"/>
  <c r="Q452" i="3" s="1"/>
  <c r="Q453" i="3" s="1"/>
  <c r="Q454" i="3" s="1"/>
  <c r="Q455" i="3" s="1"/>
  <c r="Q456" i="3" s="1"/>
  <c r="Q457" i="3" s="1"/>
  <c r="Q458" i="3" s="1"/>
  <c r="Q459" i="3" s="1"/>
  <c r="Q460" i="3" s="1"/>
  <c r="Q461" i="3" s="1"/>
  <c r="Q462" i="3" s="1"/>
  <c r="Q463" i="3" s="1"/>
  <c r="Q464" i="3" s="1"/>
  <c r="Q465" i="3" s="1"/>
  <c r="Q466" i="3" s="1"/>
  <c r="Q467" i="3" s="1"/>
  <c r="Q468" i="3" s="1"/>
  <c r="Q469" i="3" s="1"/>
  <c r="Q470" i="3" s="1"/>
  <c r="Q471" i="3" s="1"/>
  <c r="Q472" i="3" s="1"/>
  <c r="Q473" i="3" s="1"/>
  <c r="Q474" i="3" s="1"/>
  <c r="Q475" i="3" s="1"/>
  <c r="Q476" i="3" s="1"/>
  <c r="Q477" i="3" s="1"/>
  <c r="Q478" i="3" s="1"/>
  <c r="Q479" i="3" s="1"/>
  <c r="Q480" i="3" s="1"/>
  <c r="Q481" i="3" s="1"/>
  <c r="Q482" i="3" s="1"/>
  <c r="Q483" i="3" s="1"/>
  <c r="Q484" i="3" s="1"/>
  <c r="Q485" i="3" s="1"/>
  <c r="Q486" i="3" s="1"/>
  <c r="Q487" i="3" s="1"/>
  <c r="Q488" i="3" s="1"/>
  <c r="Q489" i="3" s="1"/>
  <c r="Q490" i="3" s="1"/>
  <c r="Q491" i="3" s="1"/>
  <c r="Q492" i="3" s="1"/>
  <c r="Q493" i="3" s="1"/>
  <c r="Q494" i="3" s="1"/>
  <c r="Q495" i="3" s="1"/>
  <c r="Q496" i="3" s="1"/>
  <c r="Q497" i="3" s="1"/>
  <c r="Q498" i="3" s="1"/>
  <c r="Q499" i="3" s="1"/>
  <c r="Q500" i="3" s="1"/>
  <c r="Q501" i="3" s="1"/>
  <c r="Q502" i="3" s="1"/>
  <c r="Q503" i="3" s="1"/>
  <c r="Q504" i="3" s="1"/>
  <c r="Q505" i="3" s="1"/>
  <c r="Q506" i="3" s="1"/>
  <c r="Q507" i="3" s="1"/>
  <c r="Q508" i="3" s="1"/>
  <c r="Q509" i="3" s="1"/>
  <c r="Q510" i="3" s="1"/>
  <c r="Q511" i="3" s="1"/>
  <c r="Q512" i="3" s="1"/>
  <c r="Q513" i="3" s="1"/>
  <c r="Q514" i="3" s="1"/>
  <c r="Q515" i="3" s="1"/>
  <c r="Q516" i="3" s="1"/>
  <c r="Q517" i="3" s="1"/>
  <c r="Q518" i="3" s="1"/>
  <c r="Q519" i="3" s="1"/>
  <c r="Q520" i="3" s="1"/>
  <c r="Q521" i="3" s="1"/>
  <c r="Q522" i="3" s="1"/>
  <c r="Q523" i="3" s="1"/>
  <c r="Q524" i="3" s="1"/>
  <c r="Q525" i="3" s="1"/>
  <c r="Q526" i="3" s="1"/>
  <c r="Q527" i="3" s="1"/>
  <c r="Q528" i="3" s="1"/>
  <c r="Q529" i="3" s="1"/>
  <c r="Q530" i="3" s="1"/>
  <c r="Q531" i="3" s="1"/>
  <c r="Q532" i="3" s="1"/>
  <c r="Q533" i="3" s="1"/>
  <c r="Q534" i="3" s="1"/>
  <c r="Q535" i="3" s="1"/>
  <c r="Q536" i="3" s="1"/>
  <c r="Q537" i="3" s="1"/>
  <c r="Q538" i="3" s="1"/>
  <c r="Q539" i="3" s="1"/>
  <c r="Q540" i="3" s="1"/>
  <c r="Q541" i="3" s="1"/>
  <c r="Q542" i="3" s="1"/>
  <c r="Q543" i="3" s="1"/>
  <c r="Q544" i="3" s="1"/>
  <c r="Q545" i="3" s="1"/>
  <c r="Q546" i="3" s="1"/>
  <c r="Q547" i="3" s="1"/>
  <c r="Q548" i="3" s="1"/>
  <c r="Q549" i="3" s="1"/>
  <c r="Q550" i="3" s="1"/>
  <c r="Q551" i="3" s="1"/>
  <c r="Q552" i="3" s="1"/>
  <c r="Q553" i="3" s="1"/>
  <c r="Q554" i="3" s="1"/>
  <c r="Q555" i="3" s="1"/>
  <c r="Q556" i="3" s="1"/>
  <c r="Q557" i="3" s="1"/>
  <c r="Q558" i="3" s="1"/>
  <c r="Q559" i="3" s="1"/>
  <c r="Q560" i="3" s="1"/>
  <c r="Q561" i="3" s="1"/>
  <c r="Q562" i="3" s="1"/>
  <c r="Q563" i="3" s="1"/>
  <c r="Q564" i="3" s="1"/>
  <c r="Q565" i="3" s="1"/>
  <c r="Q566" i="3" s="1"/>
  <c r="Q567" i="3" s="1"/>
  <c r="Q568" i="3" s="1"/>
  <c r="Q569" i="3" s="1"/>
  <c r="Q570" i="3" s="1"/>
  <c r="Q571" i="3" s="1"/>
  <c r="Q572" i="3" s="1"/>
  <c r="Q573" i="3" s="1"/>
  <c r="Q574" i="3" s="1"/>
  <c r="Q575" i="3" s="1"/>
  <c r="Q576" i="3" s="1"/>
  <c r="Q577" i="3" s="1"/>
  <c r="Q578" i="3" s="1"/>
  <c r="Q579" i="3" s="1"/>
  <c r="Q580" i="3" s="1"/>
  <c r="Q581" i="3" s="1"/>
  <c r="Q582" i="3" s="1"/>
  <c r="Q583" i="3" s="1"/>
  <c r="Q584" i="3" s="1"/>
  <c r="Q585" i="3" s="1"/>
  <c r="Q586" i="3" s="1"/>
  <c r="Q587" i="3" s="1"/>
  <c r="Q588" i="3" s="1"/>
  <c r="Q589" i="3" s="1"/>
  <c r="Q590" i="3" s="1"/>
  <c r="Q591" i="3" s="1"/>
  <c r="Q592" i="3" s="1"/>
  <c r="I12" i="110"/>
  <c r="J12" i="110" s="1"/>
  <c r="J11" i="110"/>
  <c r="D39" i="3" l="1"/>
  <c r="D9" i="3"/>
  <c r="H43" i="7" s="1"/>
  <c r="D10" i="3"/>
  <c r="D14" i="3"/>
  <c r="D12" i="3"/>
  <c r="D37" i="3"/>
  <c r="D11" i="3"/>
  <c r="L27" i="61"/>
  <c r="L8" i="62" s="1"/>
  <c r="L27" i="62" s="1"/>
  <c r="L8" i="63" s="1"/>
  <c r="L27" i="63" s="1"/>
  <c r="L8" i="64" s="1"/>
  <c r="L27" i="64" s="1"/>
  <c r="L8" i="65" s="1"/>
  <c r="L27" i="65" s="1"/>
  <c r="L8" i="66" s="1"/>
  <c r="L27" i="66" s="1"/>
  <c r="L8" i="67" s="1"/>
  <c r="L27" i="67" s="1"/>
  <c r="L8" i="68" s="1"/>
  <c r="L27" i="68" s="1"/>
  <c r="L8" i="69" s="1"/>
  <c r="L27" i="69" s="1"/>
  <c r="L8" i="70" s="1"/>
  <c r="L27" i="70" s="1"/>
  <c r="L8" i="71" s="1"/>
  <c r="L27" i="71" s="1"/>
  <c r="L8" i="72" s="1"/>
  <c r="L27" i="72" s="1"/>
  <c r="L8" i="73" s="1"/>
  <c r="L27" i="73" s="1"/>
  <c r="L8" i="74" s="1"/>
  <c r="L27" i="74" s="1"/>
  <c r="L8" i="75" s="1"/>
  <c r="L27" i="75" s="1"/>
  <c r="L8" i="76" s="1"/>
  <c r="L27" i="76" s="1"/>
  <c r="L8" i="77" s="1"/>
  <c r="L27" i="77" s="1"/>
  <c r="L8" i="78" s="1"/>
  <c r="L27" i="78" s="1"/>
  <c r="L8" i="79" s="1"/>
  <c r="L27" i="79" s="1"/>
  <c r="L8" i="80" s="1"/>
  <c r="L27" i="80" s="1"/>
  <c r="L8" i="81" s="1"/>
  <c r="L27" i="81" s="1"/>
  <c r="L8" i="82" s="1"/>
  <c r="L27" i="82" s="1"/>
  <c r="L8" i="83" s="1"/>
  <c r="L27" i="83" s="1"/>
  <c r="L8" i="84" s="1"/>
  <c r="L27" i="84" s="1"/>
  <c r="L8" i="85" s="1"/>
  <c r="L27" i="85" s="1"/>
  <c r="L8" i="86" s="1"/>
  <c r="L27" i="86" s="1"/>
  <c r="L8" i="87" s="1"/>
  <c r="L27" i="87" s="1"/>
  <c r="L8" i="88" s="1"/>
  <c r="L27" i="88" s="1"/>
  <c r="L8" i="89" s="1"/>
  <c r="L27" i="89" s="1"/>
  <c r="L8" i="90" s="1"/>
  <c r="L27" i="90" s="1"/>
  <c r="L8" i="91" s="1"/>
  <c r="L27" i="91" s="1"/>
  <c r="L8" i="92" s="1"/>
  <c r="L27" i="92" s="1"/>
  <c r="L8" i="93" s="1"/>
  <c r="L27" i="93" s="1"/>
  <c r="L8" i="94" s="1"/>
  <c r="L27" i="94" s="1"/>
  <c r="L8" i="95" s="1"/>
  <c r="L27" i="95" s="1"/>
  <c r="L8" i="96" s="1"/>
  <c r="L27" i="96" s="1"/>
  <c r="L8" i="97" s="1"/>
  <c r="F27" i="35"/>
  <c r="F8" i="36" s="1"/>
  <c r="L27" i="97" l="1"/>
  <c r="L8" i="98" s="1"/>
  <c r="L27" i="98" s="1"/>
  <c r="L8" i="99" s="1"/>
  <c r="L27" i="99" s="1"/>
  <c r="L8" i="100" s="1"/>
  <c r="L27" i="100" s="1"/>
  <c r="L8" i="101" s="1"/>
  <c r="L27" i="101" s="1"/>
  <c r="H33" i="14" s="1"/>
  <c r="D45" i="2"/>
  <c r="B43" i="29"/>
  <c r="B41" i="29"/>
  <c r="I31" i="109"/>
  <c r="H59" i="7" l="1"/>
  <c r="B30" i="128" l="1"/>
  <c r="D86" i="2" l="1"/>
  <c r="D75" i="2"/>
  <c r="D65" i="2"/>
  <c r="D41" i="2"/>
  <c r="B3" i="2"/>
  <c r="C42" i="155"/>
  <c r="L52" i="154"/>
  <c r="H52" i="154"/>
  <c r="D47" i="154"/>
  <c r="D42" i="154"/>
  <c r="D45" i="154"/>
  <c r="D40" i="154"/>
  <c r="C33" i="154"/>
  <c r="E25" i="154"/>
  <c r="D20" i="154"/>
  <c r="D13" i="154"/>
  <c r="D12" i="154"/>
  <c r="B17" i="153"/>
  <c r="B16" i="153"/>
  <c r="B9" i="153"/>
  <c r="B27" i="152"/>
  <c r="J32" i="152"/>
  <c r="C19" i="152"/>
  <c r="B10" i="152"/>
  <c r="B9" i="152"/>
  <c r="B15" i="152"/>
  <c r="B8" i="152"/>
  <c r="B37" i="151"/>
  <c r="B9" i="151"/>
  <c r="B31" i="151"/>
  <c r="B8" i="151"/>
  <c r="G6" i="141"/>
  <c r="G6" i="140"/>
  <c r="K4" i="140"/>
  <c r="E4" i="140"/>
  <c r="G7" i="139"/>
  <c r="C25" i="138"/>
  <c r="G8" i="138"/>
  <c r="D27" i="135"/>
  <c r="G8" i="135"/>
  <c r="J5" i="135"/>
  <c r="J5" i="138" s="1"/>
  <c r="B3" i="134"/>
  <c r="K37" i="134"/>
  <c r="I38" i="134"/>
  <c r="B36" i="134"/>
  <c r="B28" i="134"/>
  <c r="G29" i="134"/>
  <c r="B25" i="134"/>
  <c r="B24" i="134"/>
  <c r="B14" i="134"/>
  <c r="B13" i="134"/>
  <c r="B11" i="134"/>
  <c r="B22" i="134" s="1"/>
  <c r="B7" i="134"/>
  <c r="B17" i="134" s="1"/>
  <c r="B29" i="131"/>
  <c r="B15" i="131"/>
  <c r="B26" i="131" s="1"/>
  <c r="B14" i="131"/>
  <c r="B25" i="131" s="1"/>
  <c r="J6" i="130"/>
  <c r="B3" i="131"/>
  <c r="B3" i="130"/>
  <c r="G30" i="130"/>
  <c r="B29" i="130"/>
  <c r="B25" i="130"/>
  <c r="B15" i="130"/>
  <c r="B14" i="130"/>
  <c r="B12" i="130"/>
  <c r="B7" i="130"/>
  <c r="B12" i="131" l="1"/>
  <c r="B23" i="131" s="1"/>
  <c r="B12" i="133"/>
  <c r="B23" i="133" s="1"/>
  <c r="B12" i="132"/>
  <c r="B23" i="132" s="1"/>
  <c r="B7" i="131"/>
  <c r="B18" i="131" s="1"/>
  <c r="B7" i="132"/>
  <c r="B18" i="132" s="1"/>
  <c r="B7" i="133"/>
  <c r="B18" i="133" s="1"/>
  <c r="G30" i="131"/>
  <c r="G30" i="133"/>
  <c r="G30" i="132"/>
  <c r="K4" i="141"/>
  <c r="K4" i="146"/>
  <c r="K4" i="147"/>
  <c r="K4" i="143"/>
  <c r="K4" i="142"/>
  <c r="K4" i="148"/>
  <c r="K4" i="149"/>
  <c r="K4" i="144"/>
  <c r="K4" i="150"/>
  <c r="K4" i="145"/>
  <c r="J6" i="131"/>
  <c r="J6" i="134" s="1"/>
  <c r="J6" i="132"/>
  <c r="J6" i="133"/>
  <c r="E4" i="141"/>
  <c r="E4" i="145"/>
  <c r="E4" i="146"/>
  <c r="E4" i="147"/>
  <c r="E4" i="143"/>
  <c r="E4" i="142"/>
  <c r="E4" i="148"/>
  <c r="E4" i="149"/>
  <c r="E4" i="144"/>
  <c r="E4" i="150"/>
  <c r="B26" i="130"/>
  <c r="B18" i="130"/>
  <c r="B23" i="130"/>
  <c r="H5" i="139"/>
  <c r="B30" i="129" l="1"/>
  <c r="J8" i="128"/>
  <c r="J8" i="129" s="1"/>
  <c r="J7" i="128"/>
  <c r="J7" i="129" s="1"/>
  <c r="L8" i="128"/>
  <c r="L8" i="129" s="1"/>
  <c r="I8" i="128"/>
  <c r="I8" i="129" s="1"/>
  <c r="N46" i="127"/>
  <c r="L12" i="127"/>
  <c r="J11" i="127"/>
  <c r="N12" i="127"/>
  <c r="H10" i="127"/>
  <c r="B45" i="126"/>
  <c r="B43" i="126"/>
  <c r="C27" i="126"/>
  <c r="C37" i="126" s="1"/>
  <c r="C7" i="126"/>
  <c r="C20" i="126"/>
  <c r="C30" i="126" s="1"/>
  <c r="C40" i="126" s="1"/>
  <c r="C6" i="126"/>
  <c r="C26" i="126" s="1"/>
  <c r="C36" i="126" s="1"/>
  <c r="C27" i="125"/>
  <c r="C26" i="125"/>
  <c r="C25" i="125"/>
  <c r="C28" i="125"/>
  <c r="C5" i="125"/>
  <c r="B21" i="124" l="1"/>
  <c r="B10" i="124"/>
  <c r="B17" i="124"/>
  <c r="B7" i="124"/>
  <c r="B30" i="123"/>
  <c r="C20" i="123"/>
  <c r="C7" i="123"/>
  <c r="B6" i="122"/>
  <c r="B19" i="122"/>
  <c r="B40" i="122" s="1"/>
  <c r="B60" i="121"/>
  <c r="C37" i="121"/>
  <c r="C35" i="121"/>
  <c r="C29" i="121"/>
  <c r="F26" i="121"/>
  <c r="C25" i="121"/>
  <c r="C19" i="121"/>
  <c r="C17" i="121"/>
  <c r="B3" i="121"/>
  <c r="B41" i="120"/>
  <c r="B19" i="120"/>
  <c r="C11" i="120"/>
  <c r="C10" i="120"/>
  <c r="C9" i="120"/>
  <c r="C14" i="120"/>
  <c r="C7" i="120"/>
  <c r="B35" i="116"/>
  <c r="C29" i="116"/>
  <c r="C28" i="116"/>
  <c r="B22" i="116"/>
  <c r="B21" i="116"/>
  <c r="B15" i="116"/>
  <c r="B3" i="116"/>
  <c r="B37" i="115"/>
  <c r="B9" i="115"/>
  <c r="B8" i="115"/>
  <c r="B7" i="115"/>
  <c r="B6" i="115"/>
  <c r="B4" i="115"/>
  <c r="B2" i="109"/>
  <c r="B36" i="108"/>
  <c r="B28" i="108"/>
  <c r="B17" i="108"/>
  <c r="B38" i="108" s="1"/>
  <c r="B6" i="108"/>
  <c r="B31" i="106"/>
  <c r="B10" i="108" s="1"/>
  <c r="C18" i="106"/>
  <c r="C19" i="107" s="1"/>
  <c r="C40" i="107" s="1"/>
  <c r="B13" i="106"/>
  <c r="B14" i="107" s="1"/>
  <c r="B35" i="107" s="1"/>
  <c r="B12" i="106"/>
  <c r="B13" i="107" s="1"/>
  <c r="B34" i="107" s="1"/>
  <c r="C11" i="106"/>
  <c r="C12" i="107" s="1"/>
  <c r="C33" i="107" s="1"/>
  <c r="B15" i="106"/>
  <c r="B16" i="107" s="1"/>
  <c r="B37" i="107" s="1"/>
  <c r="B29" i="106"/>
  <c r="K6" i="102"/>
  <c r="F6" i="102"/>
  <c r="G4" i="61"/>
  <c r="L6" i="61"/>
  <c r="F6" i="61"/>
  <c r="G4" i="36"/>
  <c r="G4" i="35"/>
  <c r="K6" i="35"/>
  <c r="F6" i="35"/>
  <c r="B2" i="30"/>
  <c r="B3" i="29"/>
  <c r="B6" i="27"/>
  <c r="L6" i="26"/>
  <c r="E6" i="26"/>
  <c r="M8" i="21"/>
  <c r="G6" i="21"/>
  <c r="B6" i="16"/>
  <c r="B6" i="15"/>
  <c r="B6" i="14"/>
  <c r="B6" i="13"/>
  <c r="B6" i="11"/>
  <c r="B6" i="10"/>
  <c r="F21" i="9"/>
  <c r="C46" i="9"/>
  <c r="B43" i="9"/>
  <c r="F37" i="7"/>
  <c r="H61" i="6"/>
  <c r="F11" i="6"/>
  <c r="B51" i="5"/>
  <c r="B49" i="5"/>
  <c r="J6" i="5"/>
  <c r="B2" i="5"/>
  <c r="B10" i="5"/>
  <c r="B9" i="5"/>
  <c r="K7" i="5"/>
  <c r="K5" i="5"/>
  <c r="K6" i="5"/>
  <c r="K6" i="36" l="1"/>
  <c r="K6" i="60"/>
  <c r="K6" i="58"/>
  <c r="K6" i="56"/>
  <c r="K6" i="54"/>
  <c r="K6" i="51"/>
  <c r="K6" i="50"/>
  <c r="K6" i="59"/>
  <c r="K6" i="57"/>
  <c r="K6" i="55"/>
  <c r="K6" i="53"/>
  <c r="K6" i="52"/>
  <c r="K6" i="49"/>
  <c r="K6" i="47"/>
  <c r="K6" i="45"/>
  <c r="K6" i="43"/>
  <c r="K6" i="41"/>
  <c r="K6" i="39"/>
  <c r="K6" i="37"/>
  <c r="K6" i="48"/>
  <c r="K6" i="46"/>
  <c r="K6" i="44"/>
  <c r="K6" i="42"/>
  <c r="K6" i="40"/>
  <c r="K6" i="38"/>
  <c r="B4" i="110"/>
  <c r="B4" i="114"/>
  <c r="B4" i="113"/>
  <c r="B4" i="112"/>
  <c r="B4" i="111"/>
  <c r="B2" i="31"/>
  <c r="B2" i="34"/>
  <c r="B2" i="33"/>
  <c r="B2" i="32"/>
  <c r="F6" i="36"/>
  <c r="F6" i="60"/>
  <c r="F6" i="58"/>
  <c r="F6" i="56"/>
  <c r="F6" i="54"/>
  <c r="F6" i="51"/>
  <c r="F6" i="50"/>
  <c r="F6" i="59"/>
  <c r="F6" i="57"/>
  <c r="F6" i="55"/>
  <c r="F6" i="53"/>
  <c r="F6" i="52"/>
  <c r="F6" i="48"/>
  <c r="F6" i="46"/>
  <c r="F6" i="44"/>
  <c r="F6" i="42"/>
  <c r="F6" i="40"/>
  <c r="F6" i="38"/>
  <c r="F6" i="49"/>
  <c r="F6" i="47"/>
  <c r="F6" i="45"/>
  <c r="F6" i="43"/>
  <c r="F6" i="41"/>
  <c r="F6" i="39"/>
  <c r="F6" i="37"/>
  <c r="B27" i="108"/>
  <c r="B37" i="106"/>
  <c r="B9" i="107"/>
  <c r="B30" i="107" s="1"/>
  <c r="G22" i="10"/>
  <c r="I6" i="29"/>
  <c r="I35" i="109"/>
  <c r="H41" i="117"/>
  <c r="H8" i="118" s="1"/>
  <c r="H41" i="118" s="1"/>
  <c r="H8" i="119" s="1"/>
  <c r="H41" i="119" s="1"/>
  <c r="I16" i="116" s="1"/>
  <c r="G48" i="21"/>
  <c r="G10" i="22" s="1"/>
  <c r="G48" i="22" s="1"/>
  <c r="G10" i="23" s="1"/>
  <c r="G48" i="23" s="1"/>
  <c r="G10" i="24" s="1"/>
  <c r="G48" i="24" s="1"/>
  <c r="G10" i="25" s="1"/>
  <c r="G48" i="25" s="1"/>
  <c r="G33" i="123"/>
  <c r="F35" i="29"/>
  <c r="M11" i="21"/>
  <c r="M12" i="21"/>
  <c r="M14" i="21"/>
  <c r="K18" i="125"/>
  <c r="M19" i="125" s="1"/>
  <c r="G34" i="123"/>
  <c r="G36" i="123"/>
  <c r="J17" i="121"/>
  <c r="N19" i="121" s="1"/>
  <c r="I27" i="61"/>
  <c r="I8" i="62" s="1"/>
  <c r="I27" i="62" s="1"/>
  <c r="I8" i="63" s="1"/>
  <c r="I27" i="63" s="1"/>
  <c r="I8" i="64" s="1"/>
  <c r="I27" i="64" s="1"/>
  <c r="I8" i="65" s="1"/>
  <c r="I27" i="65" s="1"/>
  <c r="I8" i="66" s="1"/>
  <c r="I27" i="66" s="1"/>
  <c r="I8" i="67" s="1"/>
  <c r="I27" i="67" s="1"/>
  <c r="I8" i="68" s="1"/>
  <c r="I27" i="68" s="1"/>
  <c r="I8" i="69" s="1"/>
  <c r="I27" i="69" s="1"/>
  <c r="I8" i="70" s="1"/>
  <c r="I27" i="70" s="1"/>
  <c r="I8" i="71" s="1"/>
  <c r="I27" i="71" s="1"/>
  <c r="I8" i="72" s="1"/>
  <c r="I27" i="72" s="1"/>
  <c r="I8" i="73" s="1"/>
  <c r="I27" i="73" s="1"/>
  <c r="I8" i="74" s="1"/>
  <c r="I27" i="74" s="1"/>
  <c r="I8" i="75" s="1"/>
  <c r="I27" i="75" s="1"/>
  <c r="I8" i="76" s="1"/>
  <c r="I27" i="76" s="1"/>
  <c r="I8" i="77" s="1"/>
  <c r="I27" i="77" s="1"/>
  <c r="I8" i="78" s="1"/>
  <c r="I27" i="78" s="1"/>
  <c r="I8" i="79" s="1"/>
  <c r="I27" i="79" s="1"/>
  <c r="I8" i="80" s="1"/>
  <c r="I27" i="80" s="1"/>
  <c r="I8" i="81" s="1"/>
  <c r="I27" i="81" s="1"/>
  <c r="I8" i="82" s="1"/>
  <c r="I27" i="82" s="1"/>
  <c r="I8" i="83" s="1"/>
  <c r="I27" i="83" s="1"/>
  <c r="I8" i="84" s="1"/>
  <c r="I27" i="84" s="1"/>
  <c r="I8" i="85" s="1"/>
  <c r="I27" i="85" s="1"/>
  <c r="I8" i="86" s="1"/>
  <c r="I27" i="86" s="1"/>
  <c r="I8" i="87" s="1"/>
  <c r="I27" i="87" s="1"/>
  <c r="I8" i="88" s="1"/>
  <c r="I27" i="88" s="1"/>
  <c r="I8" i="89" s="1"/>
  <c r="I27" i="89" s="1"/>
  <c r="I8" i="90" s="1"/>
  <c r="I27" i="90" s="1"/>
  <c r="I8" i="91" s="1"/>
  <c r="I27" i="91" s="1"/>
  <c r="I8" i="92" s="1"/>
  <c r="I27" i="92" s="1"/>
  <c r="I8" i="93" s="1"/>
  <c r="I27" i="93" s="1"/>
  <c r="I8" i="94" s="1"/>
  <c r="I27" i="94" s="1"/>
  <c r="I8" i="95" s="1"/>
  <c r="I27" i="95" s="1"/>
  <c r="I8" i="96" s="1"/>
  <c r="I27" i="96" s="1"/>
  <c r="I8" i="97" s="1"/>
  <c r="I27" i="97" s="1"/>
  <c r="I8" i="98" s="1"/>
  <c r="I27" i="98" s="1"/>
  <c r="I8" i="99" s="1"/>
  <c r="I27" i="99" s="1"/>
  <c r="I8" i="100" s="1"/>
  <c r="I27" i="100" s="1"/>
  <c r="I8" i="101" s="1"/>
  <c r="I27" i="101" s="1"/>
  <c r="J27" i="61"/>
  <c r="J8" i="62" s="1"/>
  <c r="J27" i="62" s="1"/>
  <c r="J8" i="63" s="1"/>
  <c r="J27" i="63" s="1"/>
  <c r="J8" i="64" s="1"/>
  <c r="J27" i="64" s="1"/>
  <c r="J8" i="65" s="1"/>
  <c r="J27" i="65" s="1"/>
  <c r="J8" i="66" s="1"/>
  <c r="J27" i="66" s="1"/>
  <c r="J8" i="67" s="1"/>
  <c r="J27" i="67" s="1"/>
  <c r="J8" i="68" s="1"/>
  <c r="J27" i="68" s="1"/>
  <c r="J8" i="69" s="1"/>
  <c r="J27" i="69" s="1"/>
  <c r="J8" i="70" s="1"/>
  <c r="J27" i="70" s="1"/>
  <c r="J8" i="71" s="1"/>
  <c r="J27" i="71" s="1"/>
  <c r="J8" i="72" s="1"/>
  <c r="J27" i="72" s="1"/>
  <c r="J8" i="73" s="1"/>
  <c r="J27" i="73" s="1"/>
  <c r="J8" i="74" s="1"/>
  <c r="J27" i="74" s="1"/>
  <c r="J8" i="75" s="1"/>
  <c r="J27" i="75" s="1"/>
  <c r="J8" i="76" s="1"/>
  <c r="J27" i="76" s="1"/>
  <c r="J8" i="77" s="1"/>
  <c r="J27" i="77" s="1"/>
  <c r="J8" i="78" s="1"/>
  <c r="J27" i="78" s="1"/>
  <c r="J8" i="79" s="1"/>
  <c r="J27" i="79" s="1"/>
  <c r="J8" i="80" s="1"/>
  <c r="J27" i="80" s="1"/>
  <c r="J8" i="81" s="1"/>
  <c r="J27" i="81" s="1"/>
  <c r="J8" i="82" s="1"/>
  <c r="J27" i="82" s="1"/>
  <c r="J8" i="83" s="1"/>
  <c r="J27" i="83" s="1"/>
  <c r="J8" i="84" s="1"/>
  <c r="J27" i="84" s="1"/>
  <c r="J8" i="85" s="1"/>
  <c r="J27" i="85" s="1"/>
  <c r="J8" i="86" s="1"/>
  <c r="J27" i="86" s="1"/>
  <c r="J8" i="87" s="1"/>
  <c r="J27" i="87" s="1"/>
  <c r="J8" i="88" s="1"/>
  <c r="J27" i="88" s="1"/>
  <c r="J8" i="89" s="1"/>
  <c r="J27" i="89" s="1"/>
  <c r="J8" i="90" s="1"/>
  <c r="J27" i="90" s="1"/>
  <c r="J8" i="91" s="1"/>
  <c r="J27" i="91" s="1"/>
  <c r="J8" i="92" s="1"/>
  <c r="J27" i="92" s="1"/>
  <c r="J8" i="93" s="1"/>
  <c r="J27" i="93" s="1"/>
  <c r="J8" i="94" s="1"/>
  <c r="J27" i="94" s="1"/>
  <c r="J8" i="95" s="1"/>
  <c r="J27" i="95" s="1"/>
  <c r="J8" i="96" s="1"/>
  <c r="J27" i="96" s="1"/>
  <c r="J8" i="97" s="1"/>
  <c r="J27" i="97" s="1"/>
  <c r="J8" i="98" s="1"/>
  <c r="J27" i="98" s="1"/>
  <c r="J8" i="99" s="1"/>
  <c r="J27" i="99" s="1"/>
  <c r="J8" i="100" s="1"/>
  <c r="J27" i="100" s="1"/>
  <c r="J8" i="101" s="1"/>
  <c r="J27" i="101" s="1"/>
  <c r="K27" i="61"/>
  <c r="K8" i="62" s="1"/>
  <c r="K27" i="62" s="1"/>
  <c r="K8" i="63" s="1"/>
  <c r="K27" i="63" s="1"/>
  <c r="K8" i="64" s="1"/>
  <c r="K27" i="64" s="1"/>
  <c r="K8" i="65" s="1"/>
  <c r="K27" i="65" s="1"/>
  <c r="K8" i="66" s="1"/>
  <c r="K27" i="66" s="1"/>
  <c r="K8" i="67" s="1"/>
  <c r="K27" i="67" s="1"/>
  <c r="K8" i="68" s="1"/>
  <c r="K27" i="68" s="1"/>
  <c r="K8" i="69" s="1"/>
  <c r="K27" i="69" s="1"/>
  <c r="K8" i="70" s="1"/>
  <c r="K27" i="70" s="1"/>
  <c r="K8" i="71" s="1"/>
  <c r="K27" i="71" s="1"/>
  <c r="K8" i="72" s="1"/>
  <c r="K27" i="72" s="1"/>
  <c r="K8" i="73" s="1"/>
  <c r="K27" i="73" s="1"/>
  <c r="K8" i="74" s="1"/>
  <c r="K27" i="74" s="1"/>
  <c r="K8" i="75" s="1"/>
  <c r="K27" i="75" s="1"/>
  <c r="K8" i="76" s="1"/>
  <c r="K27" i="76" s="1"/>
  <c r="K8" i="77" s="1"/>
  <c r="K27" i="77" s="1"/>
  <c r="K8" i="78" s="1"/>
  <c r="K27" i="78" s="1"/>
  <c r="K8" i="79" s="1"/>
  <c r="K27" i="79" s="1"/>
  <c r="K8" i="80" s="1"/>
  <c r="K27" i="80" s="1"/>
  <c r="K8" i="81" s="1"/>
  <c r="K27" i="81" s="1"/>
  <c r="K8" i="82" s="1"/>
  <c r="K27" i="82" s="1"/>
  <c r="K8" i="83" s="1"/>
  <c r="K27" i="83" s="1"/>
  <c r="K8" i="84" s="1"/>
  <c r="K27" i="84" s="1"/>
  <c r="K8" i="85" s="1"/>
  <c r="K27" i="85" s="1"/>
  <c r="K8" i="86" s="1"/>
  <c r="K27" i="86" s="1"/>
  <c r="K8" i="87" s="1"/>
  <c r="K27" i="87" s="1"/>
  <c r="K8" i="88" s="1"/>
  <c r="K27" i="88" s="1"/>
  <c r="K8" i="89" s="1"/>
  <c r="K27" i="89" s="1"/>
  <c r="K8" i="90" s="1"/>
  <c r="K27" i="90" s="1"/>
  <c r="K8" i="91" s="1"/>
  <c r="K27" i="91" s="1"/>
  <c r="K8" i="92" s="1"/>
  <c r="K27" i="92" s="1"/>
  <c r="K8" i="93" s="1"/>
  <c r="K27" i="93" s="1"/>
  <c r="K8" i="94" s="1"/>
  <c r="K27" i="94" s="1"/>
  <c r="K8" i="95" s="1"/>
  <c r="K27" i="95" s="1"/>
  <c r="K8" i="96" s="1"/>
  <c r="K27" i="96" s="1"/>
  <c r="K8" i="97" s="1"/>
  <c r="K27" i="97" s="1"/>
  <c r="K8" i="98" s="1"/>
  <c r="K27" i="98" s="1"/>
  <c r="K8" i="99" s="1"/>
  <c r="K27" i="99" s="1"/>
  <c r="K8" i="100" s="1"/>
  <c r="K27" i="100" s="1"/>
  <c r="K8" i="101" s="1"/>
  <c r="K27" i="101" s="1"/>
  <c r="G23" i="135"/>
  <c r="F27" i="102"/>
  <c r="F8" i="103" s="1"/>
  <c r="F27" i="103" s="1"/>
  <c r="F8" i="104" s="1"/>
  <c r="F27" i="104" s="1"/>
  <c r="F8" i="105" s="1"/>
  <c r="F27" i="105" s="1"/>
  <c r="C13" i="4"/>
  <c r="E28" i="140"/>
  <c r="E9" i="141" s="1"/>
  <c r="E28" i="141" s="1"/>
  <c r="E9" i="142" s="1"/>
  <c r="E28" i="142" s="1"/>
  <c r="E9" i="143" s="1"/>
  <c r="E28" i="143" s="1"/>
  <c r="E9" i="144" s="1"/>
  <c r="E28" i="144" s="1"/>
  <c r="E9" i="145" s="1"/>
  <c r="E28" i="145" s="1"/>
  <c r="E9" i="146" s="1"/>
  <c r="E28" i="146" s="1"/>
  <c r="E9" i="147" s="1"/>
  <c r="E28" i="147" s="1"/>
  <c r="E9" i="148" s="1"/>
  <c r="E28" i="148" s="1"/>
  <c r="E9" i="149" s="1"/>
  <c r="E28" i="149" s="1"/>
  <c r="J32" i="151"/>
  <c r="H44" i="152"/>
  <c r="J23" i="135"/>
  <c r="J9" i="136" s="1"/>
  <c r="J23" i="136" s="1"/>
  <c r="J9" i="137" s="1"/>
  <c r="J23" i="137" s="1"/>
  <c r="I33" i="109"/>
  <c r="I34" i="109"/>
  <c r="I36" i="109"/>
  <c r="J38" i="109"/>
  <c r="K10" i="120"/>
  <c r="K12" i="120"/>
  <c r="K21" i="126"/>
  <c r="L21" i="126"/>
  <c r="F27" i="61"/>
  <c r="F8" i="62" s="1"/>
  <c r="F27" i="62" s="1"/>
  <c r="F8" i="63" s="1"/>
  <c r="F27" i="63" s="1"/>
  <c r="F8" i="64" s="1"/>
  <c r="F27" i="64" s="1"/>
  <c r="F8" i="65" s="1"/>
  <c r="F27" i="65" s="1"/>
  <c r="F8" i="66" s="1"/>
  <c r="F27" i="66" s="1"/>
  <c r="F8" i="67" s="1"/>
  <c r="F27" i="67" s="1"/>
  <c r="F8" i="68" s="1"/>
  <c r="F27" i="68" s="1"/>
  <c r="F8" i="69" s="1"/>
  <c r="F27" i="69" s="1"/>
  <c r="F8" i="70" s="1"/>
  <c r="F27" i="70" s="1"/>
  <c r="F8" i="71" s="1"/>
  <c r="F27" i="71" s="1"/>
  <c r="F8" i="72" s="1"/>
  <c r="F27" i="72" s="1"/>
  <c r="F8" i="73" s="1"/>
  <c r="F27" i="73" s="1"/>
  <c r="F8" i="74" s="1"/>
  <c r="F27" i="74" s="1"/>
  <c r="F8" i="75" s="1"/>
  <c r="F27" i="75" s="1"/>
  <c r="F8" i="76" s="1"/>
  <c r="F27" i="76" s="1"/>
  <c r="F8" i="77" s="1"/>
  <c r="F27" i="77" s="1"/>
  <c r="F8" i="78" s="1"/>
  <c r="F27" i="78" s="1"/>
  <c r="F8" i="79" s="1"/>
  <c r="F27" i="79" s="1"/>
  <c r="F8" i="80" s="1"/>
  <c r="F27" i="80" s="1"/>
  <c r="F8" i="81" s="1"/>
  <c r="F27" i="81" s="1"/>
  <c r="F8" i="82" s="1"/>
  <c r="F27" i="82" s="1"/>
  <c r="F8" i="83" s="1"/>
  <c r="F27" i="83" s="1"/>
  <c r="F8" i="84" s="1"/>
  <c r="F27" i="84" s="1"/>
  <c r="F8" i="85" s="1"/>
  <c r="F27" i="85" s="1"/>
  <c r="F8" i="86" s="1"/>
  <c r="F27" i="86" s="1"/>
  <c r="F8" i="87" s="1"/>
  <c r="F27" i="87" s="1"/>
  <c r="F8" i="88" s="1"/>
  <c r="F27" i="88" s="1"/>
  <c r="F8" i="89" s="1"/>
  <c r="F27" i="89" s="1"/>
  <c r="F8" i="90" s="1"/>
  <c r="F27" i="90" s="1"/>
  <c r="F8" i="91" s="1"/>
  <c r="F27" i="91" s="1"/>
  <c r="F8" i="92" s="1"/>
  <c r="F27" i="92" s="1"/>
  <c r="F8" i="93" s="1"/>
  <c r="F27" i="93" s="1"/>
  <c r="F8" i="94" s="1"/>
  <c r="F27" i="94" s="1"/>
  <c r="F8" i="95" s="1"/>
  <c r="F27" i="95" s="1"/>
  <c r="F8" i="96" s="1"/>
  <c r="F27" i="96" s="1"/>
  <c r="F8" i="97" s="1"/>
  <c r="F27" i="97" s="1"/>
  <c r="F8" i="98" s="1"/>
  <c r="F27" i="98" s="1"/>
  <c r="F8" i="99" s="1"/>
  <c r="F27" i="99" s="1"/>
  <c r="F8" i="100" s="1"/>
  <c r="F27" i="100" s="1"/>
  <c r="F8" i="101" s="1"/>
  <c r="F27" i="101" s="1"/>
  <c r="H43" i="28"/>
  <c r="J8" i="109"/>
  <c r="H19" i="106"/>
  <c r="G12" i="130"/>
  <c r="H22" i="28" s="1"/>
  <c r="G28" i="140"/>
  <c r="G9" i="141" s="1"/>
  <c r="I28" i="140"/>
  <c r="J43" i="110"/>
  <c r="J10" i="111" s="1"/>
  <c r="G27" i="102"/>
  <c r="G8" i="103" s="1"/>
  <c r="G27" i="103" s="1"/>
  <c r="G8" i="104" s="1"/>
  <c r="G27" i="104" s="1"/>
  <c r="G8" i="105" s="1"/>
  <c r="G27" i="105" s="1"/>
  <c r="H27" i="102"/>
  <c r="H8" i="103" s="1"/>
  <c r="H27" i="103" s="1"/>
  <c r="H8" i="104" s="1"/>
  <c r="H27" i="104" s="1"/>
  <c r="H8" i="105" s="1"/>
  <c r="H27" i="105" s="1"/>
  <c r="I21" i="128"/>
  <c r="J21" i="128"/>
  <c r="E23" i="135"/>
  <c r="E9" i="136" s="1"/>
  <c r="E23" i="136" s="1"/>
  <c r="E9" i="137" s="1"/>
  <c r="E23" i="137" s="1"/>
  <c r="H27" i="35"/>
  <c r="I27" i="35"/>
  <c r="J27" i="35"/>
  <c r="I47" i="5"/>
  <c r="B47" i="5"/>
  <c r="H46" i="5"/>
  <c r="M17" i="5"/>
  <c r="H17" i="5"/>
  <c r="B17" i="5"/>
  <c r="J27" i="102"/>
  <c r="J8" i="103" s="1"/>
  <c r="J27" i="103" s="1"/>
  <c r="J8" i="104" s="1"/>
  <c r="J27" i="104" s="1"/>
  <c r="J8" i="105" s="1"/>
  <c r="J27" i="105" s="1"/>
  <c r="I32" i="109"/>
  <c r="I10" i="6"/>
  <c r="F10" i="6"/>
  <c r="B12" i="8"/>
  <c r="B8" i="8"/>
  <c r="I56" i="9"/>
  <c r="I53" i="9"/>
  <c r="D21" i="9"/>
  <c r="J20" i="9"/>
  <c r="F20" i="9"/>
  <c r="L41" i="126"/>
  <c r="K41" i="126"/>
  <c r="L31" i="126"/>
  <c r="K31" i="126"/>
  <c r="K21" i="128"/>
  <c r="H46" i="10"/>
  <c r="H10" i="11" s="1"/>
  <c r="K21" i="129"/>
  <c r="J21" i="129"/>
  <c r="I21" i="129"/>
  <c r="H39" i="130"/>
  <c r="G39" i="130"/>
  <c r="K27" i="130"/>
  <c r="H24" i="130"/>
  <c r="G23" i="130"/>
  <c r="G24" i="130" s="1"/>
  <c r="H13" i="130"/>
  <c r="G12" i="131"/>
  <c r="H24" i="28" s="1"/>
  <c r="H39" i="131"/>
  <c r="G39" i="131"/>
  <c r="H24" i="131"/>
  <c r="G23" i="131"/>
  <c r="H13" i="131"/>
  <c r="K26" i="134"/>
  <c r="G11" i="134"/>
  <c r="H33" i="134"/>
  <c r="G33" i="134"/>
  <c r="H23" i="134"/>
  <c r="G22" i="134"/>
  <c r="G23" i="134" s="1"/>
  <c r="H12" i="134"/>
  <c r="K23" i="138"/>
  <c r="J23" i="138"/>
  <c r="H23" i="138"/>
  <c r="G23" i="138"/>
  <c r="G23" i="139"/>
  <c r="H23" i="139"/>
  <c r="I23" i="139"/>
  <c r="H28" i="140"/>
  <c r="J28" i="140"/>
  <c r="J9" i="141" s="1"/>
  <c r="J28" i="141" s="1"/>
  <c r="J9" i="142" s="1"/>
  <c r="J28" i="142" s="1"/>
  <c r="J9" i="143" s="1"/>
  <c r="J28" i="143" s="1"/>
  <c r="J9" i="144" s="1"/>
  <c r="J28" i="144" s="1"/>
  <c r="J9" i="145" s="1"/>
  <c r="J28" i="145" s="1"/>
  <c r="J9" i="146" s="1"/>
  <c r="J28" i="146" s="1"/>
  <c r="J9" i="147" s="1"/>
  <c r="J28" i="147" s="1"/>
  <c r="J9" i="148" s="1"/>
  <c r="J28" i="148" s="1"/>
  <c r="J9" i="149" s="1"/>
  <c r="J28" i="149" s="1"/>
  <c r="G44" i="152"/>
  <c r="J16" i="152"/>
  <c r="J18" i="153"/>
  <c r="P54" i="154"/>
  <c r="K26" i="26"/>
  <c r="J26" i="26"/>
  <c r="I26" i="26"/>
  <c r="H26" i="26"/>
  <c r="G26" i="26"/>
  <c r="F26" i="26"/>
  <c r="E26" i="26"/>
  <c r="H35" i="29"/>
  <c r="G27" i="35"/>
  <c r="G8" i="36" s="1"/>
  <c r="K48" i="21"/>
  <c r="K10" i="22" s="1"/>
  <c r="K48" i="22" s="1"/>
  <c r="K10" i="23" s="1"/>
  <c r="K48" i="23" s="1"/>
  <c r="K10" i="24" s="1"/>
  <c r="K48" i="24" s="1"/>
  <c r="K10" i="25" s="1"/>
  <c r="K48" i="25" s="1"/>
  <c r="I48" i="21"/>
  <c r="I10" i="22" s="1"/>
  <c r="I48" i="22" s="1"/>
  <c r="I10" i="23" s="1"/>
  <c r="I48" i="23" s="1"/>
  <c r="I10" i="24" s="1"/>
  <c r="I48" i="24" s="1"/>
  <c r="I10" i="25" s="1"/>
  <c r="I48" i="25" s="1"/>
  <c r="M13" i="21"/>
  <c r="J9" i="150" l="1"/>
  <c r="J28" i="150" s="1"/>
  <c r="E9" i="150"/>
  <c r="E28" i="150" s="1"/>
  <c r="I15" i="152"/>
  <c r="H40" i="28" s="1"/>
  <c r="C23" i="4"/>
  <c r="H25" i="28"/>
  <c r="G24" i="131"/>
  <c r="H23" i="28"/>
  <c r="G9" i="136"/>
  <c r="G23" i="136" s="1"/>
  <c r="G9" i="137" s="1"/>
  <c r="G23" i="137" s="1"/>
  <c r="H21" i="28" s="1"/>
  <c r="C22" i="4"/>
  <c r="G12" i="134"/>
  <c r="I8" i="36"/>
  <c r="I27" i="36" s="1"/>
  <c r="I8" i="37" s="1"/>
  <c r="I27" i="37" s="1"/>
  <c r="I8" i="38" s="1"/>
  <c r="I27" i="38" s="1"/>
  <c r="I8" i="39" s="1"/>
  <c r="I27" i="39" s="1"/>
  <c r="I8" i="40" s="1"/>
  <c r="I27" i="40" s="1"/>
  <c r="I8" i="41" s="1"/>
  <c r="I27" i="41" s="1"/>
  <c r="I8" i="42" s="1"/>
  <c r="I27" i="42" s="1"/>
  <c r="I8" i="43" s="1"/>
  <c r="I27" i="43" s="1"/>
  <c r="I8" i="44" s="1"/>
  <c r="I27" i="44" s="1"/>
  <c r="I8" i="45" s="1"/>
  <c r="I27" i="45" s="1"/>
  <c r="I8" i="46" s="1"/>
  <c r="I27" i="46" s="1"/>
  <c r="I8" i="47" s="1"/>
  <c r="I27" i="47" s="1"/>
  <c r="I8" i="48" s="1"/>
  <c r="I27" i="48" s="1"/>
  <c r="I8" i="49" s="1"/>
  <c r="H9" i="141"/>
  <c r="H28" i="141" s="1"/>
  <c r="H9" i="150" s="1"/>
  <c r="H9" i="142"/>
  <c r="H28" i="142" s="1"/>
  <c r="H9" i="143"/>
  <c r="H28" i="143" s="1"/>
  <c r="H9" i="144"/>
  <c r="H28" i="144" s="1"/>
  <c r="H9" i="145" s="1"/>
  <c r="H28" i="145" s="1"/>
  <c r="H9" i="146" s="1"/>
  <c r="H28" i="146" s="1"/>
  <c r="H9" i="147" s="1"/>
  <c r="H28" i="147" s="1"/>
  <c r="H9" i="148" s="1"/>
  <c r="H28" i="148" s="1"/>
  <c r="H9" i="149" s="1"/>
  <c r="H28" i="149" s="1"/>
  <c r="G13" i="131"/>
  <c r="C21" i="4"/>
  <c r="K40" i="122"/>
  <c r="K19" i="122"/>
  <c r="J8" i="36"/>
  <c r="J27" i="36" s="1"/>
  <c r="J8" i="37" s="1"/>
  <c r="J27" i="37" s="1"/>
  <c r="J8" i="38" s="1"/>
  <c r="J27" i="38" s="1"/>
  <c r="J8" i="39" s="1"/>
  <c r="J27" i="39" s="1"/>
  <c r="J8" i="40" s="1"/>
  <c r="J27" i="40" s="1"/>
  <c r="J8" i="41" s="1"/>
  <c r="J27" i="41" s="1"/>
  <c r="J8" i="42" s="1"/>
  <c r="J27" i="42" s="1"/>
  <c r="J8" i="43" s="1"/>
  <c r="J27" i="43" s="1"/>
  <c r="J8" i="44" s="1"/>
  <c r="J27" i="44" s="1"/>
  <c r="J8" i="45" s="1"/>
  <c r="J27" i="45" s="1"/>
  <c r="J8" i="46" s="1"/>
  <c r="J27" i="46" s="1"/>
  <c r="J8" i="47" s="1"/>
  <c r="J27" i="47" s="1"/>
  <c r="J8" i="48" s="1"/>
  <c r="J27" i="48" s="1"/>
  <c r="J8" i="49" s="1"/>
  <c r="J27" i="49" s="1"/>
  <c r="J8" i="50" s="1"/>
  <c r="J27" i="50" s="1"/>
  <c r="J8" i="51" s="1"/>
  <c r="J27" i="51" s="1"/>
  <c r="J8" i="52" s="1"/>
  <c r="J27" i="52" s="1"/>
  <c r="J8" i="53" s="1"/>
  <c r="J27" i="53" s="1"/>
  <c r="J8" i="54" s="1"/>
  <c r="J27" i="54" s="1"/>
  <c r="J8" i="55" s="1"/>
  <c r="J27" i="55" s="1"/>
  <c r="J8" i="56" s="1"/>
  <c r="J27" i="56" s="1"/>
  <c r="J8" i="57" s="1"/>
  <c r="J27" i="57" s="1"/>
  <c r="J8" i="58" s="1"/>
  <c r="J27" i="58" s="1"/>
  <c r="J8" i="59" s="1"/>
  <c r="J27" i="59" s="1"/>
  <c r="J8" i="60" s="1"/>
  <c r="J27" i="60" s="1"/>
  <c r="H8" i="36"/>
  <c r="H27" i="36" s="1"/>
  <c r="H8" i="37" s="1"/>
  <c r="H27" i="37" s="1"/>
  <c r="H8" i="38" s="1"/>
  <c r="H27" i="38" s="1"/>
  <c r="H8" i="39" s="1"/>
  <c r="H27" i="39" s="1"/>
  <c r="H8" i="40" s="1"/>
  <c r="H27" i="40" s="1"/>
  <c r="H8" i="41" s="1"/>
  <c r="H27" i="41" s="1"/>
  <c r="H8" i="42" s="1"/>
  <c r="H27" i="42" s="1"/>
  <c r="H8" i="43" s="1"/>
  <c r="H27" i="43" s="1"/>
  <c r="H8" i="44" s="1"/>
  <c r="H27" i="44" s="1"/>
  <c r="H8" i="45" s="1"/>
  <c r="H27" i="45" s="1"/>
  <c r="H8" i="46" s="1"/>
  <c r="H27" i="46" s="1"/>
  <c r="H8" i="47" s="1"/>
  <c r="H27" i="47" s="1"/>
  <c r="H8" i="48" s="1"/>
  <c r="H27" i="48" s="1"/>
  <c r="H8" i="49" s="1"/>
  <c r="H27" i="49" s="1"/>
  <c r="H8" i="50" s="1"/>
  <c r="H27" i="50" s="1"/>
  <c r="H8" i="51" s="1"/>
  <c r="H27" i="51" s="1"/>
  <c r="H8" i="52" s="1"/>
  <c r="H27" i="52" s="1"/>
  <c r="H8" i="53" s="1"/>
  <c r="H27" i="53" s="1"/>
  <c r="H8" i="54" s="1"/>
  <c r="H27" i="54" s="1"/>
  <c r="H8" i="55" s="1"/>
  <c r="H27" i="55" s="1"/>
  <c r="H8" i="56" s="1"/>
  <c r="H27" i="56" s="1"/>
  <c r="H8" i="57" s="1"/>
  <c r="H27" i="57" s="1"/>
  <c r="H8" i="58" s="1"/>
  <c r="H27" i="58" s="1"/>
  <c r="H8" i="59" s="1"/>
  <c r="H27" i="59" s="1"/>
  <c r="H8" i="60" s="1"/>
  <c r="H27" i="60" s="1"/>
  <c r="I9" i="141"/>
  <c r="I28" i="141" s="1"/>
  <c r="I9" i="142" s="1"/>
  <c r="I28" i="142" s="1"/>
  <c r="I9" i="143" s="1"/>
  <c r="I28" i="143" s="1"/>
  <c r="I9" i="144" s="1"/>
  <c r="I28" i="144" s="1"/>
  <c r="I9" i="145" s="1"/>
  <c r="I28" i="145" s="1"/>
  <c r="I9" i="146" s="1"/>
  <c r="I28" i="146" s="1"/>
  <c r="I9" i="147" s="1"/>
  <c r="I28" i="147" s="1"/>
  <c r="I9" i="148" s="1"/>
  <c r="I28" i="148" s="1"/>
  <c r="I9" i="149" s="1"/>
  <c r="I28" i="149" s="1"/>
  <c r="G13" i="130"/>
  <c r="C20" i="4"/>
  <c r="J6" i="109"/>
  <c r="C12" i="4"/>
  <c r="F9" i="141"/>
  <c r="F28" i="141" s="1"/>
  <c r="F9" i="142" s="1"/>
  <c r="F28" i="142" s="1"/>
  <c r="F9" i="143" s="1"/>
  <c r="F28" i="143" s="1"/>
  <c r="F9" i="144" s="1"/>
  <c r="F28" i="144" s="1"/>
  <c r="F9" i="145" s="1"/>
  <c r="F28" i="145" s="1"/>
  <c r="F9" i="146" s="1"/>
  <c r="F28" i="146" s="1"/>
  <c r="F9" i="147" s="1"/>
  <c r="F28" i="147" s="1"/>
  <c r="F9" i="148" s="1"/>
  <c r="F28" i="148" s="1"/>
  <c r="F9" i="149" s="1"/>
  <c r="F28" i="149" s="1"/>
  <c r="I30" i="125"/>
  <c r="F27" i="36"/>
  <c r="F8" i="37" s="1"/>
  <c r="F27" i="37" s="1"/>
  <c r="I18" i="153"/>
  <c r="G27" i="36"/>
  <c r="G8" i="37" s="1"/>
  <c r="G27" i="37" s="1"/>
  <c r="G8" i="38" s="1"/>
  <c r="G27" i="38" s="1"/>
  <c r="G8" i="39" s="1"/>
  <c r="G27" i="39" s="1"/>
  <c r="G8" i="40" s="1"/>
  <c r="G27" i="40" s="1"/>
  <c r="G8" i="41" s="1"/>
  <c r="G27" i="41" s="1"/>
  <c r="G8" i="42" s="1"/>
  <c r="G27" i="42" s="1"/>
  <c r="G8" i="43" s="1"/>
  <c r="G27" i="43" s="1"/>
  <c r="G8" i="44" s="1"/>
  <c r="G27" i="44" s="1"/>
  <c r="G8" i="45" s="1"/>
  <c r="G27" i="45" s="1"/>
  <c r="G8" i="46" s="1"/>
  <c r="G27" i="46" s="1"/>
  <c r="G8" i="47" s="1"/>
  <c r="G27" i="47" s="1"/>
  <c r="G8" i="48" s="1"/>
  <c r="G27" i="48" s="1"/>
  <c r="G8" i="49" s="1"/>
  <c r="G27" i="49" s="1"/>
  <c r="G8" i="50" s="1"/>
  <c r="G27" i="50" s="1"/>
  <c r="G8" i="51" s="1"/>
  <c r="G27" i="51" s="1"/>
  <c r="G8" i="52" s="1"/>
  <c r="G27" i="52" s="1"/>
  <c r="G8" i="53" s="1"/>
  <c r="G27" i="53" s="1"/>
  <c r="G8" i="54" s="1"/>
  <c r="G27" i="54" s="1"/>
  <c r="G8" i="55" s="1"/>
  <c r="G27" i="55" s="1"/>
  <c r="G8" i="56" s="1"/>
  <c r="G27" i="56" s="1"/>
  <c r="G8" i="57" s="1"/>
  <c r="G27" i="57" s="1"/>
  <c r="G8" i="58" s="1"/>
  <c r="G27" i="58" s="1"/>
  <c r="G8" i="59" s="1"/>
  <c r="G27" i="59" s="1"/>
  <c r="G8" i="60" s="1"/>
  <c r="G27" i="60" s="1"/>
  <c r="G35" i="123"/>
  <c r="G37" i="123" s="1"/>
  <c r="H27" i="61"/>
  <c r="H8" i="62" s="1"/>
  <c r="H27" i="62" s="1"/>
  <c r="H8" i="63" s="1"/>
  <c r="H27" i="63" s="1"/>
  <c r="H8" i="64" s="1"/>
  <c r="H27" i="64" s="1"/>
  <c r="H8" i="65" s="1"/>
  <c r="H27" i="65" s="1"/>
  <c r="H8" i="66" s="1"/>
  <c r="H27" i="66" s="1"/>
  <c r="H8" i="67" s="1"/>
  <c r="H27" i="67" s="1"/>
  <c r="H8" i="68" s="1"/>
  <c r="H27" i="68" s="1"/>
  <c r="H8" i="69" s="1"/>
  <c r="H27" i="69" s="1"/>
  <c r="H8" i="70" s="1"/>
  <c r="H27" i="70" s="1"/>
  <c r="H8" i="71" s="1"/>
  <c r="H27" i="71" s="1"/>
  <c r="H8" i="72" s="1"/>
  <c r="H27" i="72" s="1"/>
  <c r="H8" i="73" s="1"/>
  <c r="H27" i="73" s="1"/>
  <c r="H8" i="74" s="1"/>
  <c r="H27" i="74" s="1"/>
  <c r="H8" i="75" s="1"/>
  <c r="H27" i="75" s="1"/>
  <c r="H8" i="76" s="1"/>
  <c r="H27" i="76" s="1"/>
  <c r="H8" i="77" s="1"/>
  <c r="H27" i="77" s="1"/>
  <c r="H8" i="78" s="1"/>
  <c r="H27" i="78" s="1"/>
  <c r="H8" i="79" s="1"/>
  <c r="H27" i="79" s="1"/>
  <c r="H8" i="80" s="1"/>
  <c r="H27" i="80" s="1"/>
  <c r="H8" i="81" s="1"/>
  <c r="H27" i="81" s="1"/>
  <c r="H8" i="82" s="1"/>
  <c r="H27" i="82" s="1"/>
  <c r="H8" i="83" s="1"/>
  <c r="H27" i="83" s="1"/>
  <c r="H8" i="84" s="1"/>
  <c r="H27" i="84" s="1"/>
  <c r="H8" i="85" s="1"/>
  <c r="H27" i="85" s="1"/>
  <c r="H8" i="86" s="1"/>
  <c r="H27" i="86" s="1"/>
  <c r="H8" i="87" s="1"/>
  <c r="H27" i="87" s="1"/>
  <c r="H8" i="88" s="1"/>
  <c r="H27" i="88" s="1"/>
  <c r="H8" i="89" s="1"/>
  <c r="H27" i="89" s="1"/>
  <c r="H8" i="90" s="1"/>
  <c r="H27" i="90" s="1"/>
  <c r="H8" i="91" s="1"/>
  <c r="H27" i="91" s="1"/>
  <c r="H8" i="92" s="1"/>
  <c r="H27" i="92" s="1"/>
  <c r="H8" i="93" s="1"/>
  <c r="H27" i="93" s="1"/>
  <c r="H8" i="94" s="1"/>
  <c r="H27" i="94" s="1"/>
  <c r="H8" i="95" s="1"/>
  <c r="H27" i="95" s="1"/>
  <c r="H8" i="96" s="1"/>
  <c r="H27" i="96" s="1"/>
  <c r="H8" i="97" s="1"/>
  <c r="H27" i="97" s="1"/>
  <c r="H8" i="98" s="1"/>
  <c r="H27" i="98" s="1"/>
  <c r="H8" i="99" s="1"/>
  <c r="H27" i="99" s="1"/>
  <c r="H8" i="100" s="1"/>
  <c r="H27" i="100" s="1"/>
  <c r="H8" i="101" s="1"/>
  <c r="H27" i="101" s="1"/>
  <c r="G35" i="29"/>
  <c r="N12" i="154"/>
  <c r="N14" i="154" s="1"/>
  <c r="P59" i="154"/>
  <c r="M20" i="125"/>
  <c r="G11" i="10"/>
  <c r="I35" i="29"/>
  <c r="K23" i="135"/>
  <c r="K9" i="136" s="1"/>
  <c r="K23" i="136" s="1"/>
  <c r="K9" i="137" s="1"/>
  <c r="K23" i="137" s="1"/>
  <c r="L21" i="128"/>
  <c r="G39" i="10" s="1"/>
  <c r="J15" i="109"/>
  <c r="K20" i="125"/>
  <c r="G19" i="106"/>
  <c r="L28" i="140"/>
  <c r="L9" i="141" s="1"/>
  <c r="L28" i="141" s="1"/>
  <c r="L9" i="142" s="1"/>
  <c r="L28" i="142" s="1"/>
  <c r="L9" i="143" s="1"/>
  <c r="L28" i="143" s="1"/>
  <c r="L9" i="144" s="1"/>
  <c r="L28" i="144" s="1"/>
  <c r="L9" i="145" s="1"/>
  <c r="L28" i="145" s="1"/>
  <c r="L9" i="146" s="1"/>
  <c r="L28" i="146" s="1"/>
  <c r="L9" i="147" s="1"/>
  <c r="L28" i="147" s="1"/>
  <c r="L9" i="148" s="1"/>
  <c r="L28" i="148" s="1"/>
  <c r="L9" i="149" s="1"/>
  <c r="L28" i="149" s="1"/>
  <c r="I38" i="108"/>
  <c r="I39" i="108" s="1"/>
  <c r="I43" i="110"/>
  <c r="I10" i="111" s="1"/>
  <c r="I43" i="111" s="1"/>
  <c r="I10" i="112" s="1"/>
  <c r="I43" i="112" s="1"/>
  <c r="I10" i="113" s="1"/>
  <c r="I43" i="113" s="1"/>
  <c r="I10" i="114" s="1"/>
  <c r="I43" i="114" s="1"/>
  <c r="K27" i="102"/>
  <c r="K8" i="103" s="1"/>
  <c r="K27" i="103" s="1"/>
  <c r="K8" i="104" s="1"/>
  <c r="K27" i="104" s="1"/>
  <c r="K8" i="105" s="1"/>
  <c r="K27" i="105" s="1"/>
  <c r="H34" i="14" s="1"/>
  <c r="I11" i="109"/>
  <c r="H14" i="109"/>
  <c r="M48" i="21"/>
  <c r="M10" i="22" s="1"/>
  <c r="M48" i="22" s="1"/>
  <c r="M10" i="23" s="1"/>
  <c r="M48" i="23" s="1"/>
  <c r="M10" i="24" s="1"/>
  <c r="M48" i="24" s="1"/>
  <c r="M10" i="25" s="1"/>
  <c r="M48" i="25" s="1"/>
  <c r="I23" i="123"/>
  <c r="G28" i="141"/>
  <c r="G9" i="142" s="1"/>
  <c r="G28" i="142" s="1"/>
  <c r="G9" i="143" s="1"/>
  <c r="G28" i="143" s="1"/>
  <c r="G9" i="144" s="1"/>
  <c r="G28" i="144" s="1"/>
  <c r="G9" i="145" s="1"/>
  <c r="G28" i="145" s="1"/>
  <c r="G9" i="146" s="1"/>
  <c r="G28" i="146" s="1"/>
  <c r="G9" i="147" s="1"/>
  <c r="G28" i="147" s="1"/>
  <c r="G9" i="148" s="1"/>
  <c r="G28" i="148" s="1"/>
  <c r="G9" i="149" s="1"/>
  <c r="G28" i="149" s="1"/>
  <c r="I44" i="152"/>
  <c r="I31" i="151" s="1"/>
  <c r="L9" i="150" l="1"/>
  <c r="L28" i="150" s="1"/>
  <c r="H34" i="28" s="1"/>
  <c r="I9" i="150"/>
  <c r="I28" i="150" s="1"/>
  <c r="H28" i="150"/>
  <c r="F9" i="150"/>
  <c r="F28" i="150" s="1"/>
  <c r="G9" i="150"/>
  <c r="G28" i="150" s="1"/>
  <c r="I16" i="152"/>
  <c r="H32" i="116"/>
  <c r="I12" i="116"/>
  <c r="L30" i="121"/>
  <c r="L32" i="121" s="1"/>
  <c r="F8" i="38"/>
  <c r="F27" i="38" s="1"/>
  <c r="L57" i="154"/>
  <c r="P57" i="154" s="1"/>
  <c r="H27" i="11"/>
  <c r="H44" i="11" s="1"/>
  <c r="H22" i="109"/>
  <c r="J6" i="115" s="1"/>
  <c r="J8" i="115" s="1"/>
  <c r="J10" i="115" s="1"/>
  <c r="J12" i="115" s="1"/>
  <c r="J18" i="115" s="1"/>
  <c r="C14" i="4"/>
  <c r="P29" i="8"/>
  <c r="L35" i="128"/>
  <c r="G21" i="10"/>
  <c r="L23" i="120"/>
  <c r="K21" i="125"/>
  <c r="H35" i="125" s="1"/>
  <c r="P55" i="154"/>
  <c r="G44" i="27"/>
  <c r="G9" i="28" s="1"/>
  <c r="J44" i="152"/>
  <c r="J23" i="123"/>
  <c r="J11" i="109"/>
  <c r="K28" i="141"/>
  <c r="K9" i="142" s="1"/>
  <c r="K28" i="142" s="1"/>
  <c r="K9" i="143" s="1"/>
  <c r="K28" i="143" s="1"/>
  <c r="K9" i="144" s="1"/>
  <c r="K28" i="144" s="1"/>
  <c r="K9" i="145" s="1"/>
  <c r="K28" i="145" s="1"/>
  <c r="K9" i="146" s="1"/>
  <c r="K28" i="146" s="1"/>
  <c r="K9" i="147" s="1"/>
  <c r="K28" i="147" s="1"/>
  <c r="K9" i="148" s="1"/>
  <c r="K28" i="148" s="1"/>
  <c r="K9" i="149" s="1"/>
  <c r="K28" i="149" s="1"/>
  <c r="K9" i="150" l="1"/>
  <c r="K28" i="150" s="1"/>
  <c r="H33" i="28" s="1"/>
  <c r="H38" i="121"/>
  <c r="K16" i="122"/>
  <c r="K18" i="122" s="1"/>
  <c r="K22" i="122" s="1"/>
  <c r="K37" i="122"/>
  <c r="N34" i="121"/>
  <c r="N35" i="121" s="1"/>
  <c r="K27" i="125" s="1"/>
  <c r="I29" i="125" s="1"/>
  <c r="L45" i="121"/>
  <c r="L48" i="121" s="1"/>
  <c r="J29" i="109" s="1"/>
  <c r="I40" i="109" s="1"/>
  <c r="L13" i="154"/>
  <c r="K8" i="37"/>
  <c r="K27" i="37" s="1"/>
  <c r="F8" i="39"/>
  <c r="F27" i="39" s="1"/>
  <c r="C8" i="4"/>
  <c r="L26" i="120"/>
  <c r="I15" i="116"/>
  <c r="J10" i="109"/>
  <c r="J14" i="109" s="1"/>
  <c r="H31" i="116" s="1"/>
  <c r="I14" i="109"/>
  <c r="K31" i="120"/>
  <c r="L38" i="120" s="1"/>
  <c r="K39" i="122" l="1"/>
  <c r="K43" i="122" s="1"/>
  <c r="I53" i="109"/>
  <c r="F19" i="10"/>
  <c r="F8" i="40"/>
  <c r="F27" i="40" s="1"/>
  <c r="K8" i="38"/>
  <c r="K27" i="38" s="1"/>
  <c r="K31" i="37"/>
  <c r="K29" i="37"/>
  <c r="I21" i="109"/>
  <c r="J21" i="109" s="1"/>
  <c r="I43" i="109"/>
  <c r="K31" i="125"/>
  <c r="H39" i="28"/>
  <c r="J39" i="109" l="1"/>
  <c r="J43" i="109" s="1"/>
  <c r="I14" i="116"/>
  <c r="H34" i="116"/>
  <c r="K8" i="39"/>
  <c r="K27" i="39" s="1"/>
  <c r="K31" i="38"/>
  <c r="K29" i="38"/>
  <c r="F8" i="41"/>
  <c r="F27" i="41" s="1"/>
  <c r="I22" i="109"/>
  <c r="C16" i="4" s="1"/>
  <c r="H36" i="14"/>
  <c r="I11" i="116"/>
  <c r="F18" i="10"/>
  <c r="M28" i="125"/>
  <c r="I32" i="151"/>
  <c r="J22" i="109"/>
  <c r="F8" i="42" l="1"/>
  <c r="F27" i="42" s="1"/>
  <c r="K8" i="40"/>
  <c r="K27" i="40" s="1"/>
  <c r="K29" i="39"/>
  <c r="K31" i="39"/>
  <c r="J44" i="116"/>
  <c r="M31" i="125"/>
  <c r="I37" i="125"/>
  <c r="G20" i="10"/>
  <c r="H39" i="12" s="1"/>
  <c r="H44" i="27"/>
  <c r="H9" i="28" s="1"/>
  <c r="H44" i="28" s="1"/>
  <c r="H44" i="116" l="1"/>
  <c r="L9" i="120" s="1"/>
  <c r="I43" i="116"/>
  <c r="G40" i="10" s="1"/>
  <c r="G46" i="10" s="1"/>
  <c r="K8" i="41"/>
  <c r="K27" i="41" s="1"/>
  <c r="K29" i="40"/>
  <c r="K31" i="40"/>
  <c r="F8" i="43"/>
  <c r="F27" i="43" s="1"/>
  <c r="G10" i="11" l="1"/>
  <c r="G44" i="11" s="1"/>
  <c r="H45" i="116"/>
  <c r="F8" i="44"/>
  <c r="F27" i="44" s="1"/>
  <c r="K8" i="42"/>
  <c r="K27" i="42" s="1"/>
  <c r="K29" i="41"/>
  <c r="K31" i="41"/>
  <c r="I45" i="116"/>
  <c r="C6" i="4" s="1"/>
  <c r="L15" i="120"/>
  <c r="K14" i="120"/>
  <c r="C5" i="4" l="1"/>
  <c r="H42" i="12"/>
  <c r="K8" i="43"/>
  <c r="K27" i="43" s="1"/>
  <c r="K31" i="42"/>
  <c r="K29" i="42"/>
  <c r="F8" i="45"/>
  <c r="F27" i="45" s="1"/>
  <c r="K15" i="120"/>
  <c r="F8" i="46" l="1"/>
  <c r="F27" i="46" s="1"/>
  <c r="K8" i="44"/>
  <c r="K27" i="44" s="1"/>
  <c r="K29" i="43"/>
  <c r="K31" i="43"/>
  <c r="K8" i="45" l="1"/>
  <c r="K27" i="45" s="1"/>
  <c r="K31" i="44"/>
  <c r="K29" i="44"/>
  <c r="F8" i="47"/>
  <c r="F27" i="47" s="1"/>
  <c r="F8" i="48" l="1"/>
  <c r="F27" i="48" s="1"/>
  <c r="K8" i="46"/>
  <c r="K27" i="46" s="1"/>
  <c r="K31" i="45"/>
  <c r="K29" i="45"/>
  <c r="H10" i="12"/>
  <c r="H25" i="12" s="1"/>
  <c r="G10" i="12"/>
  <c r="G25" i="12" s="1"/>
  <c r="H44" i="12" l="1"/>
  <c r="L27" i="120"/>
  <c r="K8" i="47"/>
  <c r="K27" i="47" s="1"/>
  <c r="K31" i="46"/>
  <c r="K29" i="46"/>
  <c r="F8" i="49"/>
  <c r="F27" i="49" s="1"/>
  <c r="F8" i="50" s="1"/>
  <c r="F27" i="50" s="1"/>
  <c r="K50" i="162"/>
  <c r="L28" i="120" l="1"/>
  <c r="L39" i="120" s="1"/>
  <c r="C10" i="4"/>
  <c r="L8" i="163"/>
  <c r="M10" i="163" s="1"/>
  <c r="K13" i="163" s="1"/>
  <c r="K21" i="162"/>
  <c r="M33" i="162" s="1"/>
  <c r="F8" i="51"/>
  <c r="F27" i="51" s="1"/>
  <c r="K8" i="48"/>
  <c r="K27" i="48" s="1"/>
  <c r="K29" i="47"/>
  <c r="K31" i="47"/>
  <c r="K38" i="162" l="1"/>
  <c r="J41" i="162" s="1"/>
  <c r="K33" i="162"/>
  <c r="J36" i="162" s="1"/>
  <c r="F8" i="52"/>
  <c r="F27" i="52" s="1"/>
  <c r="K8" i="49"/>
  <c r="K27" i="49" s="1"/>
  <c r="K8" i="50" s="1"/>
  <c r="K27" i="50" s="1"/>
  <c r="K8" i="51" s="1"/>
  <c r="K27" i="51" s="1"/>
  <c r="K8" i="52" s="1"/>
  <c r="K27" i="52" s="1"/>
  <c r="K8" i="53" s="1"/>
  <c r="K27" i="53" s="1"/>
  <c r="K8" i="54" s="1"/>
  <c r="K27" i="54" s="1"/>
  <c r="K8" i="55" s="1"/>
  <c r="K27" i="55" s="1"/>
  <c r="K8" i="56" s="1"/>
  <c r="K27" i="56" s="1"/>
  <c r="K8" i="57" s="1"/>
  <c r="K27" i="57" s="1"/>
  <c r="K8" i="58" s="1"/>
  <c r="K27" i="58" s="1"/>
  <c r="K8" i="59" s="1"/>
  <c r="K27" i="59" s="1"/>
  <c r="K8" i="60" s="1"/>
  <c r="K27" i="60" s="1"/>
  <c r="G11" i="14" s="1"/>
  <c r="G36" i="14" s="1"/>
  <c r="K31" i="48"/>
  <c r="K29" i="48"/>
  <c r="L12" i="163"/>
  <c r="L14" i="163" s="1"/>
  <c r="F8" i="53" l="1"/>
  <c r="F27" i="53" s="1"/>
  <c r="K14" i="163"/>
  <c r="M14" i="163" s="1"/>
  <c r="L22" i="163"/>
  <c r="K27" i="163" s="1"/>
  <c r="F8" i="54" l="1"/>
  <c r="F27" i="54" s="1"/>
  <c r="K28" i="163"/>
  <c r="L28" i="163"/>
  <c r="F8" i="55" l="1"/>
  <c r="F27" i="55" s="1"/>
  <c r="H42" i="156"/>
  <c r="H44" i="156" s="1"/>
  <c r="F8" i="56" l="1"/>
  <c r="F27" i="56" s="1"/>
  <c r="F8" i="57" s="1"/>
  <c r="F27" i="57" s="1"/>
  <c r="F8" i="58" s="1"/>
  <c r="F27" i="58" s="1"/>
  <c r="F8" i="59" s="1"/>
  <c r="F27" i="59" s="1"/>
  <c r="F8" i="60" s="1"/>
  <c r="F27" i="60" s="1"/>
  <c r="H57" i="156"/>
  <c r="J44" i="156"/>
  <c r="I27" i="49"/>
  <c r="K31" i="49" l="1"/>
  <c r="I8" i="50"/>
  <c r="I27" i="50" s="1"/>
  <c r="K29" i="49"/>
  <c r="J43" i="111"/>
  <c r="J10" i="112" s="1"/>
  <c r="J43" i="112" s="1"/>
  <c r="J10" i="113" s="1"/>
  <c r="J43" i="113" s="1"/>
  <c r="J10" i="114" s="1"/>
  <c r="J43" i="114" s="1"/>
  <c r="I8" i="51" l="1"/>
  <c r="I27" i="51" s="1"/>
  <c r="K31" i="50"/>
  <c r="K29" i="50"/>
  <c r="I8" i="52" l="1"/>
  <c r="I27" i="52" s="1"/>
  <c r="K29" i="51"/>
  <c r="K31" i="51"/>
  <c r="I8" i="53" l="1"/>
  <c r="I27" i="53" s="1"/>
  <c r="K31" i="52"/>
  <c r="K29" i="52"/>
  <c r="I8" i="54" l="1"/>
  <c r="I27" i="54" s="1"/>
  <c r="K31" i="53"/>
  <c r="K29" i="53"/>
  <c r="I8" i="55" l="1"/>
  <c r="I27" i="55" s="1"/>
  <c r="K31" i="54"/>
  <c r="K29" i="54"/>
  <c r="I8" i="56" l="1"/>
  <c r="I27" i="56" s="1"/>
  <c r="I8" i="57" s="1"/>
  <c r="I27" i="57" s="1"/>
  <c r="I8" i="58" s="1"/>
  <c r="I27" i="58" s="1"/>
  <c r="I8" i="59" s="1"/>
  <c r="I27" i="59" s="1"/>
  <c r="I8" i="60" s="1"/>
  <c r="I27" i="60" s="1"/>
  <c r="K31" i="55"/>
  <c r="K29" i="55"/>
  <c r="E27" i="243"/>
  <c r="E9" i="244" s="1"/>
  <c r="E27" i="244" s="1"/>
  <c r="E9" i="245" s="1"/>
  <c r="E27" i="245" s="1"/>
  <c r="G44" i="28"/>
  <c r="K50" i="185" l="1"/>
  <c r="L8" i="186" s="1"/>
  <c r="J18" i="185"/>
  <c r="K21" i="185" s="1"/>
  <c r="M33" i="185" s="1"/>
  <c r="K38" i="185" s="1"/>
  <c r="J41" i="185" s="1"/>
  <c r="M10" i="186" l="1"/>
  <c r="K33" i="185"/>
  <c r="J36" i="185" s="1"/>
  <c r="K13" i="186" l="1"/>
  <c r="L12" i="186"/>
  <c r="L14" i="186" s="1"/>
  <c r="L22" i="186" l="1"/>
  <c r="K14" i="186"/>
  <c r="M14" i="186" s="1"/>
  <c r="L28" i="186" l="1"/>
  <c r="K27" i="186"/>
  <c r="H42" i="179" l="1"/>
  <c r="H44" i="179" s="1"/>
  <c r="K28" i="186"/>
  <c r="J44" i="179" l="1"/>
  <c r="H57" i="179"/>
  <c r="K50" i="208"/>
  <c r="L8" i="209" s="1"/>
  <c r="J18" i="208"/>
  <c r="K21" i="208" s="1"/>
  <c r="M33" i="208" s="1"/>
  <c r="K38" i="208" l="1"/>
  <c r="J41" i="208" s="1"/>
  <c r="K33" i="208"/>
  <c r="J36" i="208" s="1"/>
  <c r="M10" i="209"/>
  <c r="K13" i="209" l="1"/>
  <c r="L12" i="209"/>
  <c r="L14" i="209" s="1"/>
  <c r="L22" i="209" l="1"/>
  <c r="K14" i="209"/>
  <c r="M14" i="209" s="1"/>
  <c r="L28" i="209" l="1"/>
  <c r="K27" i="209"/>
  <c r="H42" i="202" l="1"/>
  <c r="H44" i="202" s="1"/>
  <c r="K28" i="209"/>
  <c r="H57" i="202" l="1"/>
  <c r="J44" i="202"/>
  <c r="K50" i="231"/>
  <c r="L8" i="232" s="1"/>
  <c r="K21" i="231"/>
  <c r="M33" i="231" s="1"/>
  <c r="K33" i="231" l="1"/>
  <c r="J36" i="231" s="1"/>
  <c r="K38" i="231"/>
  <c r="J41" i="231" s="1"/>
  <c r="M10" i="232"/>
  <c r="K13" i="232" l="1"/>
  <c r="L12" i="232"/>
  <c r="L14" i="232" s="1"/>
  <c r="K14" i="232" l="1"/>
  <c r="L22" i="232"/>
  <c r="M14" i="232"/>
  <c r="K27" i="232" l="1"/>
  <c r="L28" i="232"/>
  <c r="K28" i="232" l="1"/>
  <c r="H42" i="225"/>
  <c r="H44" i="225" s="1"/>
  <c r="H57" i="225" l="1"/>
  <c r="J44" i="225"/>
  <c r="K50" i="254"/>
  <c r="L8" i="255" s="1"/>
  <c r="J18" i="254"/>
  <c r="K21" i="254" s="1"/>
  <c r="M33" i="254" s="1"/>
  <c r="M10" i="255" l="1"/>
  <c r="K33" i="254"/>
  <c r="J36" i="254" s="1"/>
  <c r="K38" i="254"/>
  <c r="J41" i="254" s="1"/>
  <c r="K13" i="255" l="1"/>
  <c r="L12" i="255"/>
  <c r="L14" i="255" s="1"/>
  <c r="L22" i="255" l="1"/>
  <c r="K14" i="255"/>
  <c r="M14" i="255" s="1"/>
  <c r="L28" i="255" l="1"/>
  <c r="K27" i="255"/>
  <c r="H42" i="248" l="1"/>
  <c r="H44" i="248" s="1"/>
  <c r="K28" i="255"/>
  <c r="H57" i="248" l="1"/>
  <c r="J44" i="248"/>
  <c r="K50" i="277"/>
  <c r="L8" i="278" s="1"/>
  <c r="J18" i="277"/>
  <c r="K21" i="277" s="1"/>
  <c r="M33" i="277" s="1"/>
  <c r="M10" i="278" l="1"/>
  <c r="K38" i="277"/>
  <c r="J41" i="277" s="1"/>
  <c r="K33" i="277"/>
  <c r="J36" i="277" s="1"/>
  <c r="K13" i="278" l="1"/>
  <c r="L12" i="278"/>
  <c r="L14" i="278" s="1"/>
  <c r="L22" i="278" l="1"/>
  <c r="K14" i="278"/>
  <c r="M14" i="278" s="1"/>
  <c r="K27" i="278" l="1"/>
  <c r="L28" i="278"/>
  <c r="H42" i="271" l="1"/>
  <c r="H44" i="271" s="1"/>
  <c r="K28" i="278"/>
  <c r="J44" i="271" l="1"/>
  <c r="H57" i="271"/>
  <c r="G44" i="12" l="1"/>
</calcChain>
</file>

<file path=xl/sharedStrings.xml><?xml version="1.0" encoding="utf-8"?>
<sst xmlns="http://schemas.openxmlformats.org/spreadsheetml/2006/main" count="13513" uniqueCount="3962">
  <si>
    <t>and outstanding for such purposes, together with such emergency notes, may be omitted from this analysis.</t>
  </si>
  <si>
    <t>Note A:</t>
  </si>
  <si>
    <t>In showing the above percentage the following should be noted:</t>
  </si>
  <si>
    <t>Where Item 5 shows $1,500,000.00, and Item 10 shows $1,049,977.50,</t>
  </si>
  <si>
    <t>THE  REQUIRED  CERTIFICATION  BY  AN  RMA  IS  AS  FOLLOWS:</t>
  </si>
  <si>
    <t>Percentage of Collection Excluding  Tax Levy Sale Proceeds</t>
  </si>
  <si>
    <t>SCHEDULE  OF  DUE  FROM / TO  STATE  OF  NEW  JERSEY</t>
  </si>
  <si>
    <t>FOR  SENIOR  CITIZENS  AND  VETERANS  DEDUCTIONS</t>
  </si>
  <si>
    <t>Calculation of Amount to be included on Sheet 22, Item 10 -</t>
  </si>
  <si>
    <t>Sheet  23</t>
  </si>
  <si>
    <t>Line  2</t>
  </si>
  <si>
    <t>Line  3</t>
  </si>
  <si>
    <t>Line  4</t>
  </si>
  <si>
    <t>Sub - Total</t>
  </si>
  <si>
    <t>Less: Line  7</t>
  </si>
  <si>
    <t>To Item 10, Sheet 22</t>
  </si>
  <si>
    <t>Signature  of  Tax  Collector</t>
  </si>
  <si>
    <t>License #</t>
  </si>
  <si>
    <t>Date</t>
  </si>
  <si>
    <t>Sheet  24</t>
  </si>
  <si>
    <t>N.J.  DIVISION  OF  TAXATION  APPEALS  (N.J.S.A.  54:3-27)</t>
  </si>
  <si>
    <t>SCHEDULE  OF  RESERVE  FOR  TAX  APPEALS  PENDING -</t>
  </si>
  <si>
    <t>statements annexed hereto and made a part hereof are true statements of the financial condition of the Local Unit as at</t>
  </si>
  <si>
    <t>,am the Chief Financial</t>
  </si>
  <si>
    <t>, of the</t>
  </si>
  <si>
    <t>48 &amp; 62.</t>
  </si>
  <si>
    <t>49 &amp; 63.</t>
  </si>
  <si>
    <t>50 &amp; 64.</t>
  </si>
  <si>
    <t>51 &amp; 65.</t>
  </si>
  <si>
    <t>52 &amp; 66.</t>
  </si>
  <si>
    <t>53 &amp; 67.</t>
  </si>
  <si>
    <t>54 &amp; 68.</t>
  </si>
  <si>
    <t>Instructions</t>
  </si>
  <si>
    <t>UTILITIES  ONLY</t>
  </si>
  <si>
    <t>If no "utility fund" existed on the books of account and if no utility was</t>
  </si>
  <si>
    <t>instructions of Sheet 2.</t>
  </si>
  <si>
    <t>Sheet  40</t>
  </si>
  <si>
    <t>Bonds and Notes Authorized but Not Issued must be disclosed in this Utility Capital</t>
  </si>
  <si>
    <t>Memo: Designate all "Capital Notes" issued under N.J.S. 40A:2-8(b) with "C".  Such notes must be retired at the rate of 20% of the original amount issued annually.</t>
  </si>
  <si>
    <t>Memo: Type 1 School Notes should be separately listed and totaled.</t>
  </si>
  <si>
    <t>* "Original Date of Issue" refers to the date when the first money was borrowed for a particular improvement, not the renewal date of subsequent notes which were issued.</t>
  </si>
  <si>
    <t>written intent of permanent financing submitted with statement.</t>
  </si>
  <si>
    <t>** If interest on notes is financed by ordinance, designate same, otherwise an amount must be included in this column.</t>
  </si>
  <si>
    <t>RE: UNEXPENDED BALANCES CANCELED:</t>
  </si>
  <si>
    <t>Important: If there is more than one utility in the municipality, identify each note.</t>
  </si>
  <si>
    <t>Memo:</t>
  </si>
  <si>
    <t>Designate all "Capital Notes" issued under N.J.S. 40A:2-8(b) with "C".  Such notes must be retired at the rate</t>
  </si>
  <si>
    <t xml:space="preserve">              of 20% of the original amount issued annually.</t>
  </si>
  <si>
    <t>* See Sheet 33 for clarifications of "Original Date of Issue".</t>
  </si>
  <si>
    <t>** If interest on note is financed by ordinance, designate same, otherwise an amount must be included in this</t>
  </si>
  <si>
    <t xml:space="preserve">              column.</t>
  </si>
  <si>
    <t>Every appropriation overexpended in the budget document must be marked with an * and must agree in the aggregate with this item.</t>
  </si>
  <si>
    <t>Are not to be shown as "Paid or Charged" in the budget document.  In all instances "Total Appropriations" and "Overexpenditures"</t>
  </si>
  <si>
    <t>must equal the sum of "Total Expenditures" and "Unexpended Balances Canceled".</t>
  </si>
  <si>
    <t>83103-00</t>
  </si>
  <si>
    <t>83105-00</t>
  </si>
  <si>
    <t>83106-00</t>
  </si>
  <si>
    <t>Results of Operation, Operating Surplus and Analysis</t>
  </si>
  <si>
    <t>Utility Accounts Receivable; Utility Liens</t>
  </si>
  <si>
    <t>Deferred Charges and List of Judgments-Utility</t>
  </si>
  <si>
    <t>Summary Statement of Debt Service Requirements</t>
  </si>
  <si>
    <t>to the veracity of required information included herein, needed prior to certification by the Director of Local Government</t>
  </si>
  <si>
    <t>Address</t>
  </si>
  <si>
    <t>Phone Number</t>
  </si>
  <si>
    <t>Sheet  1</t>
  </si>
  <si>
    <t>BY SAID, AT A MINIMUM MUST REVIEW THE CONTENTS OF THIS ANNUAL FINANCIAL</t>
  </si>
  <si>
    <t>SCHEDULE  OF  DELINQUENT  TAXES  AND  TAX  TITLE  LIENS</t>
  </si>
  <si>
    <t>A.</t>
  </si>
  <si>
    <t>Taxes</t>
  </si>
  <si>
    <t>B.</t>
  </si>
  <si>
    <t>Canceled:</t>
  </si>
  <si>
    <t>83102-00</t>
  </si>
  <si>
    <t>6 &amp; 6b.</t>
  </si>
  <si>
    <t>body prior to introduction of municipal budget</t>
  </si>
  <si>
    <t>Trial Balance-Trust Funds/ Schedule of Trust Fund Deposits and Reserves</t>
  </si>
  <si>
    <t>34 &amp; 34a.</t>
  </si>
  <si>
    <t>Debt Service for Assessment Notes/ Schedule of Capital Lease Program Obligations</t>
  </si>
  <si>
    <t>51a &amp; 65a.</t>
  </si>
  <si>
    <t>Schedule of Capital Lease Program Obligations</t>
  </si>
  <si>
    <t>(Separately Stated)</t>
  </si>
  <si>
    <t xml:space="preserve">Cash Liabilities Must Be Subtotaled and Subtotal Must Be Marked With "C" </t>
  </si>
  <si>
    <r>
      <t xml:space="preserve">There were </t>
    </r>
    <r>
      <rPr>
        <b/>
        <sz val="10"/>
        <rFont val="Arial"/>
        <family val="2"/>
      </rPr>
      <t>no "procedural deficiencies" noted</t>
    </r>
    <r>
      <rPr>
        <sz val="10"/>
        <rFont val="Arial"/>
        <family val="2"/>
      </rPr>
      <t xml:space="preserve"> by the registered municipal</t>
    </r>
  </si>
  <si>
    <r>
      <t xml:space="preserve">There was </t>
    </r>
    <r>
      <rPr>
        <b/>
        <sz val="10"/>
        <rFont val="Arial"/>
        <family val="2"/>
      </rPr>
      <t>no operating deficit</t>
    </r>
    <r>
      <rPr>
        <sz val="10"/>
        <rFont val="Arial"/>
        <family val="2"/>
      </rPr>
      <t xml:space="preserve"> for the previous fiscal year.</t>
    </r>
  </si>
  <si>
    <t>Municipality:</t>
  </si>
  <si>
    <t>Chief Financial Officer:</t>
  </si>
  <si>
    <t>Certificate #:</t>
  </si>
  <si>
    <t>Sheet  1c</t>
  </si>
  <si>
    <t>80034-07</t>
  </si>
  <si>
    <t>80034-08</t>
  </si>
  <si>
    <t xml:space="preserve">80034-10  </t>
  </si>
  <si>
    <t xml:space="preserve">80034-11  </t>
  </si>
  <si>
    <t xml:space="preserve">80034-12  </t>
  </si>
  <si>
    <t>Total "Interest on Bonds - Type I School Debt Service" (*Items)</t>
  </si>
  <si>
    <t>80035-</t>
  </si>
  <si>
    <t>Amount Issued          -02</t>
  </si>
  <si>
    <t>MUNICODE</t>
  </si>
  <si>
    <t>0512</t>
  </si>
  <si>
    <t>Fax Number</t>
  </si>
  <si>
    <t>(Fax Number)</t>
  </si>
  <si>
    <t>TYPE  I  SCHOOL  SERIAL  BONDS</t>
  </si>
  <si>
    <t>80034-06</t>
  </si>
  <si>
    <r>
      <t xml:space="preserve">The municipality did </t>
    </r>
    <r>
      <rPr>
        <b/>
        <sz val="10"/>
        <rFont val="Arial"/>
        <family val="2"/>
      </rPr>
      <t xml:space="preserve">not </t>
    </r>
    <r>
      <rPr>
        <sz val="10"/>
        <rFont val="Arial"/>
        <family val="2"/>
      </rPr>
      <t>conduct a tax levy sale the previous fiscal year and does</t>
    </r>
  </si>
  <si>
    <t>Cash Paid to Appellants (Including 5% Interest from Date of Payment)</t>
  </si>
  <si>
    <t xml:space="preserve">utility owned and operated by the </t>
  </si>
  <si>
    <t>COMPLETED</t>
  </si>
  <si>
    <r>
      <t xml:space="preserve">The municipality did </t>
    </r>
    <r>
      <rPr>
        <b/>
        <sz val="10"/>
        <rFont val="Arial"/>
        <family val="2"/>
      </rPr>
      <t xml:space="preserve">not </t>
    </r>
    <r>
      <rPr>
        <sz val="10"/>
        <rFont val="Arial"/>
        <family val="2"/>
      </rPr>
      <t>conduct an accelerated tax sale for less than 3 consecutive</t>
    </r>
  </si>
  <si>
    <t>years.</t>
  </si>
  <si>
    <t>Date  of     Issue</t>
  </si>
  <si>
    <t>Interest   Rate</t>
  </si>
  <si>
    <t>Amount Issued</t>
  </si>
  <si>
    <t>80033-14</t>
  </si>
  <si>
    <t>80033-15</t>
  </si>
  <si>
    <t>80033-01</t>
  </si>
  <si>
    <t>Issued</t>
  </si>
  <si>
    <t>80033-02</t>
  </si>
  <si>
    <t>80033-03</t>
  </si>
  <si>
    <t>80033-04</t>
  </si>
  <si>
    <t xml:space="preserve">80033-05  </t>
  </si>
  <si>
    <t xml:space="preserve">80033-06 </t>
  </si>
  <si>
    <t>ASSESSMENT  SERIAL  BONDS</t>
  </si>
  <si>
    <t>80033-07</t>
  </si>
  <si>
    <t>80033-08</t>
  </si>
  <si>
    <t>80033-09</t>
  </si>
  <si>
    <t>Cash Liabilities Must Be Subtotaled and Subtotal Must Be Marked With "C" -- Taxes Receivable Must Be Subtotaled</t>
  </si>
  <si>
    <t>Title of Account</t>
  </si>
  <si>
    <t>Debit</t>
  </si>
  <si>
    <t>Credit</t>
  </si>
  <si>
    <t>(Do not crowd - add additional sheets)</t>
  </si>
  <si>
    <t>Sheet  3</t>
  </si>
  <si>
    <r>
      <t xml:space="preserve">NOTE  THAT  A  TRIAL  BALANCE  IS  REQUIRED  AND  </t>
    </r>
    <r>
      <rPr>
        <u/>
        <sz val="10"/>
        <rFont val="Times New Roman"/>
        <family val="1"/>
      </rPr>
      <t>NOT  A  BALANCE  SHEET</t>
    </r>
  </si>
  <si>
    <t>Sheet  3a</t>
  </si>
  <si>
    <t xml:space="preserve">TRIAL  BALANCE - PUBLIC  ASSISTANCE  FUND  </t>
  </si>
  <si>
    <t>Sheet  4</t>
  </si>
  <si>
    <t>*To be prepared in compliance with Department of Human Services Municipal Audit Guide,</t>
  </si>
  <si>
    <t>POST  CLOSING  TRIAL  BALANCE</t>
  </si>
  <si>
    <t>FEDERAL  AND  STATE  GRANTS</t>
  </si>
  <si>
    <t>Trial Balance-Capital Fund</t>
  </si>
  <si>
    <t>Cash Reconciliation</t>
  </si>
  <si>
    <r>
      <t xml:space="preserve">pass-through entities.  </t>
    </r>
    <r>
      <rPr>
        <b/>
        <sz val="10"/>
        <rFont val="Arial"/>
        <family val="2"/>
      </rPr>
      <t>Exclude state aid (I.e., CMPTRA, Energy Receipts tax, etc.) since there</t>
    </r>
  </si>
  <si>
    <t>are no compliance requirements.</t>
  </si>
  <si>
    <t>Report expenditures from federal programs received directly from the federal government or indirectly</t>
  </si>
  <si>
    <t>from entities other than state government.</t>
  </si>
  <si>
    <t>For Principal</t>
  </si>
  <si>
    <r>
      <t xml:space="preserve">All </t>
    </r>
    <r>
      <rPr>
        <u/>
        <sz val="8"/>
        <rFont val="Arial"/>
        <family val="2"/>
      </rPr>
      <t>"Certificates of Deposits", Repurchase Agreements" and other investments must be</t>
    </r>
    <r>
      <rPr>
        <sz val="8"/>
        <rFont val="Arial"/>
        <family val="2"/>
      </rPr>
      <t xml:space="preserve"> reported as cash and included in</t>
    </r>
  </si>
  <si>
    <t>(THIS MUST BE SIGNED BY THE REGISTERED MUNICIPAL ACCOUNTANT (STATUTORY AUDITOR) OR</t>
  </si>
  <si>
    <r>
      <t>CHIEF FINANCIAL OFFICER)</t>
    </r>
    <r>
      <rPr>
        <sz val="10"/>
        <rFont val="Arial"/>
        <family val="2"/>
      </rPr>
      <t xml:space="preserve"> </t>
    </r>
    <r>
      <rPr>
        <sz val="8"/>
        <rFont val="Arial"/>
        <family val="2"/>
      </rPr>
      <t>depending on who prepared this Annual Financial Statement as certified to on Sheet 1 or 1(a).</t>
    </r>
  </si>
  <si>
    <t>Signature:</t>
  </si>
  <si>
    <t>Title:</t>
  </si>
  <si>
    <t>examination of its Budget in accordance with N.J.A.C. 5:30-7.5.</t>
  </si>
  <si>
    <t>DEFERRED SCHOOL TAX</t>
  </si>
  <si>
    <t>DEFERRED SCHOOL TAX PAYABLE</t>
  </si>
  <si>
    <t>CONSOLIDATION ACT; FLOOD OR HURRICANE DAMAGE.</t>
  </si>
  <si>
    <t>are recorded on this page</t>
  </si>
  <si>
    <t>Chief Financial Officer</t>
  </si>
  <si>
    <t>Sheet  30</t>
  </si>
  <si>
    <t>1/3 of Amount</t>
  </si>
  <si>
    <t>80027-00</t>
  </si>
  <si>
    <t>80028-00</t>
  </si>
  <si>
    <r>
      <t>N.J.S. 40A:4-55.1, ET SEQ.</t>
    </r>
    <r>
      <rPr>
        <sz val="14"/>
        <rFont val="Times New Roman"/>
        <family val="1"/>
      </rPr>
      <t>,  SPECIAL EMERGENCY - DAMAGE CAUSED  TO  ROADS  OR BRIDGES BY  SNOW,  ICE, FROST OR  FLOODS</t>
    </r>
  </si>
  <si>
    <r>
      <t>N.J.S. 40A:4-55.13, ET SEQ.</t>
    </r>
    <r>
      <rPr>
        <sz val="14"/>
        <rFont val="Times New Roman"/>
        <family val="1"/>
      </rPr>
      <t>,  SPECIAL EMERGENCY - PUBLIC  EXIGENCIES CAUSED  BY  CIVIL  DISTURBANCES</t>
    </r>
  </si>
  <si>
    <t>SCHEDULE  OF  BONDS  ISSUED  AND  OUTSTANDING</t>
  </si>
  <si>
    <t>DUE FROM/TO CURRENT FUND</t>
  </si>
  <si>
    <t>Requirement</t>
  </si>
  <si>
    <t xml:space="preserve">80036-   </t>
  </si>
  <si>
    <t xml:space="preserve">80037-   </t>
  </si>
  <si>
    <t xml:space="preserve">80038-   </t>
  </si>
  <si>
    <t xml:space="preserve">80039-   </t>
  </si>
  <si>
    <t>Emergency Notes</t>
  </si>
  <si>
    <t>Special Emergency Notes</t>
  </si>
  <si>
    <t>Tax Anticipation Notes</t>
  </si>
  <si>
    <t>Interest on Unpaid State &amp; County Taxes</t>
  </si>
  <si>
    <t>Sheet  32</t>
  </si>
  <si>
    <t>DEBT  SERVICE  FOR  NOTES  (OTHER  THAN  ASSESSMENT  NOTES)</t>
  </si>
  <si>
    <t>Sheet  33</t>
  </si>
  <si>
    <t xml:space="preserve">Total    </t>
  </si>
  <si>
    <t>Title or Purpose of Issue</t>
  </si>
  <si>
    <t>Original</t>
  </si>
  <si>
    <t>Date of</t>
  </si>
  <si>
    <t>Issue*</t>
  </si>
  <si>
    <t>This Sheet Must Be Completely Filled in or the Statement Will Be Considered Incomplete</t>
  </si>
  <si>
    <t>Sheet  6.1</t>
  </si>
  <si>
    <t>(3)</t>
  </si>
  <si>
    <t>Surplus Balance - To Surplus (Sheet 21)</t>
  </si>
  <si>
    <t>Miscellaneous Revenues anticipated</t>
  </si>
  <si>
    <t>Delinquent Tax Collections</t>
  </si>
  <si>
    <t>Required Collection of Current Taxes</t>
  </si>
  <si>
    <t>Refunded</t>
  </si>
  <si>
    <t>__________________________________ LOAN</t>
  </si>
  <si>
    <t xml:space="preserve">80033-12 </t>
  </si>
  <si>
    <t>Sheet  31a</t>
  </si>
  <si>
    <t>I also certify that all amounts, if any, shown for Investments in Savings and Loan Associations on any trial balance have</t>
  </si>
  <si>
    <t>this certification.</t>
  </si>
  <si>
    <t>column "Total Obligations Authorized", explanation must be made part of or attached to this sheet.</t>
  </si>
  <si>
    <t>STATEMENT  OF  CAPITAL  SURPLUS</t>
  </si>
  <si>
    <t xml:space="preserve">80029-01   </t>
  </si>
  <si>
    <t>Premium on Sale of Bonds</t>
  </si>
  <si>
    <t>Funded Improvement Authorizations Canceled</t>
  </si>
  <si>
    <t xml:space="preserve">80029-02   </t>
  </si>
  <si>
    <t xml:space="preserve">80029-03   </t>
  </si>
  <si>
    <t>Sheet  38</t>
  </si>
  <si>
    <r>
      <t xml:space="preserve">The undersigned certifies </t>
    </r>
    <r>
      <rPr>
        <u/>
        <sz val="10"/>
        <rFont val="Arial"/>
        <family val="2"/>
      </rPr>
      <t xml:space="preserve">that this municipality has complied in full in meeting </t>
    </r>
    <r>
      <rPr>
        <b/>
        <u/>
        <sz val="10"/>
        <rFont val="Arial"/>
        <family val="2"/>
      </rPr>
      <t>ALL</t>
    </r>
    <r>
      <rPr>
        <u/>
        <sz val="10"/>
        <rFont val="Arial"/>
        <family val="2"/>
      </rPr>
      <t xml:space="preserve"> of the</t>
    </r>
  </si>
  <si>
    <t>operated utility.</t>
  </si>
  <si>
    <t>COUNTY  TAXES  PAYABLE</t>
  </si>
  <si>
    <t>N.J.S.  40A:4-20 (Prior to adoption of Budget)</t>
  </si>
  <si>
    <t>Sale of Municipal Assets</t>
  </si>
  <si>
    <t>Transferred to Tax Title Liens</t>
  </si>
  <si>
    <t>Net Cash Collected</t>
  </si>
  <si>
    <t>Reserve for Tax Appeals Pending-N.J. Division of Tax Appeals (N.J.S.A. 54:3-37)</t>
  </si>
  <si>
    <t>85042-00</t>
  </si>
  <si>
    <t>85043-00</t>
  </si>
  <si>
    <t>85044-00</t>
  </si>
  <si>
    <t>Source</t>
  </si>
  <si>
    <t>Surplus Anticipated</t>
  </si>
  <si>
    <t>Surplus Anticipated with Prior Written Consent of</t>
  </si>
  <si>
    <t>Director of Local Government</t>
  </si>
  <si>
    <t>-01</t>
  </si>
  <si>
    <t>-02</t>
  </si>
  <si>
    <t>-03</t>
  </si>
  <si>
    <t>Excess or Deficit*</t>
  </si>
  <si>
    <t>80101-</t>
  </si>
  <si>
    <t>80102-</t>
  </si>
  <si>
    <t>Miscellaneous Revenue Anticipated:</t>
  </si>
  <si>
    <t>Adopted Budget</t>
  </si>
  <si>
    <t>Sheet  36</t>
  </si>
  <si>
    <t>Improvement Authorizations Canceled</t>
  </si>
  <si>
    <t>(financed in whole by the Capital Improvement Fund)</t>
  </si>
  <si>
    <t>List by Improvements  -  Direct Charges Made for Preliminary Costs:</t>
  </si>
  <si>
    <t xml:space="preserve">80031-05   </t>
  </si>
  <si>
    <t xml:space="preserve">80031-04   </t>
  </si>
  <si>
    <t>Appropriated to Finance Improvement Authorizations</t>
  </si>
  <si>
    <t xml:space="preserve">80031-01   </t>
  </si>
  <si>
    <t xml:space="preserve">80031-02   </t>
  </si>
  <si>
    <t xml:space="preserve">80031-03   </t>
  </si>
  <si>
    <t>appropriation is to be permitted to lapse.</t>
  </si>
  <si>
    <t>SCHEDULE  OF  DOWN  PAYMENTS  ON  IMPROVEMENTS</t>
  </si>
  <si>
    <t xml:space="preserve">80030-01   </t>
  </si>
  <si>
    <t xml:space="preserve">80030-02   </t>
  </si>
  <si>
    <t xml:space="preserve">80030-03   </t>
  </si>
  <si>
    <t xml:space="preserve">80030-04   </t>
  </si>
  <si>
    <t xml:space="preserve">80030-05   </t>
  </si>
  <si>
    <t>Sheet  37</t>
  </si>
  <si>
    <t>Municipal Budget-Computation of "Reserve for Uncollected Taxes" and "Amount to be Raised by Taxation"</t>
  </si>
  <si>
    <t>Accelerated Tax Sale - Chapter 99.  Calculation to Utilize Proceeds in Current Budget as Deduction to Reserve</t>
  </si>
  <si>
    <t>for Uncollected Taxes Appropriation</t>
  </si>
  <si>
    <t>Delinquent Taxes and Tax Title Liens</t>
  </si>
  <si>
    <t>Foreclosed Property; Contract Sales; Mortgage Sales</t>
  </si>
  <si>
    <t>Deferred Charges and List of Judgments-Current</t>
  </si>
  <si>
    <t>Emergency-Tax Map; Revaluation; Master Plan; Revisions and Codification of Ordinance; Drainage Maps for</t>
  </si>
  <si>
    <t>Analysis of Trust Assessment Cash and Investments Pledged to Liabilities and Surplus</t>
  </si>
  <si>
    <t>TRIAL  BALANCE  --  GENERAL  CAPITAL  FUND</t>
  </si>
  <si>
    <t>Sheet  8</t>
  </si>
  <si>
    <t>Est. Proceeds Bonds and Notes Authorized</t>
  </si>
  <si>
    <t>Bonds and Notes Authorized but Not Issued</t>
  </si>
  <si>
    <t>Cash</t>
  </si>
  <si>
    <t>*On Hand</t>
  </si>
  <si>
    <t>On Deposit</t>
  </si>
  <si>
    <t>Less Checks</t>
  </si>
  <si>
    <t>Outstanding</t>
  </si>
  <si>
    <t>Cash Book</t>
  </si>
  <si>
    <t>Sheet  9</t>
  </si>
  <si>
    <t>Total</t>
  </si>
  <si>
    <t>AND  DOWN  PAYMENTS  (N.J.S. 40A:2-11)</t>
  </si>
  <si>
    <t>Total  80032-00</t>
  </si>
  <si>
    <t>Appropriated</t>
  </si>
  <si>
    <t>Obligations</t>
  </si>
  <si>
    <t>Down Payment</t>
  </si>
  <si>
    <t>Provided by</t>
  </si>
  <si>
    <t>Deficit in Anticipated Revenues:</t>
  </si>
  <si>
    <t>Operating Surplus Cash or (Deficit in Operating Surplus Cash)</t>
  </si>
  <si>
    <t>Operating Deficit #</t>
  </si>
  <si>
    <t>Excess in Anticipated Revenues</t>
  </si>
  <si>
    <t>Unexpended Balances of Appropriations</t>
  </si>
  <si>
    <t>Miscellaneous Revenues Not Anticipated</t>
  </si>
  <si>
    <t>Operating Deficit - to Trial Balance</t>
  </si>
  <si>
    <t>Excess in Operations - to Operating Surplus</t>
  </si>
  <si>
    <t>*In the case of a "Deficit in Operating Surplus Cash",</t>
  </si>
  <si>
    <t>Increased by:</t>
  </si>
  <si>
    <t>Decreased by:</t>
  </si>
  <si>
    <t>Collections</t>
  </si>
  <si>
    <t>Overpayments applied</t>
  </si>
  <si>
    <t>Other</t>
  </si>
  <si>
    <t>Transfers from Accounts Receivable</t>
  </si>
  <si>
    <t>Penalties and Costs</t>
  </si>
  <si>
    <t>(Do not include the emergency authorizations pursuant to N.J.S. 40A:4-55, listed on Sheet 29)</t>
  </si>
  <si>
    <t>and Veterans Deductions Allowed</t>
  </si>
  <si>
    <t>82123-00</t>
  </si>
  <si>
    <t>Total To Line 14</t>
  </si>
  <si>
    <t>82111-00</t>
  </si>
  <si>
    <t>11.</t>
  </si>
  <si>
    <t>Total Credits</t>
  </si>
  <si>
    <t>12.</t>
  </si>
  <si>
    <t>82120-00</t>
  </si>
  <si>
    <t>13.</t>
  </si>
  <si>
    <t>Sheet  22</t>
  </si>
  <si>
    <t>(Item 10 divided by Item 5c) is</t>
  </si>
  <si>
    <t>82112-00</t>
  </si>
  <si>
    <t>MUNICIPALITIES  AND  COUNTIES</t>
  </si>
  <si>
    <t>FEDERAL  AND  STATE  GRANTS  RECEIVABLE</t>
  </si>
  <si>
    <t>Sheet  11</t>
  </si>
  <si>
    <t>Appropriation</t>
  </si>
  <si>
    <t>By 40A:4-87</t>
  </si>
  <si>
    <t>Budget Appropriations</t>
  </si>
  <si>
    <t>Expended</t>
  </si>
  <si>
    <t>SCHEDULE  OF  APPROPRIATED  RESERVES  FOR</t>
  </si>
  <si>
    <t>Sheet  12</t>
  </si>
  <si>
    <t>SCHEDULE  OF  UNAPPROPRIATED  RESERVES  FOR</t>
  </si>
  <si>
    <t>Ordinance</t>
  </si>
  <si>
    <t>Amount of Down</t>
  </si>
  <si>
    <t>Payment in Budget</t>
  </si>
  <si>
    <t>Years</t>
  </si>
  <si>
    <t xml:space="preserve">NOTE  -  </t>
  </si>
  <si>
    <t>Where amount in column "Down Payment Provided by Ordinance" is LESS than 5% of amount in</t>
  </si>
  <si>
    <t>Adjustment between Taxes (Other than current year) and Tax Title Liens;</t>
  </si>
  <si>
    <t>Collected:</t>
  </si>
  <si>
    <t>(See Note A on Sheet 22 - Current Taxes)</t>
  </si>
  <si>
    <t>Loss on Sales</t>
  </si>
  <si>
    <t>Gain on Sales</t>
  </si>
  <si>
    <t>N.J.S. 40A:4-55.13 et seq. and are recorded on this page</t>
  </si>
  <si>
    <t>80034-02</t>
  </si>
  <si>
    <t>80034-09</t>
  </si>
  <si>
    <t>Operating</t>
  </si>
  <si>
    <t>Less Assets "Unfinanced"*</t>
  </si>
  <si>
    <t>JUDGMENTS  ENTERED  AGAINST  MUNICIPALITY  AND  NOT  SATISFIED</t>
  </si>
  <si>
    <t>*LOCAL  DISTRICT  SCHOOL  TAX</t>
  </si>
  <si>
    <t>School Tax Payable #</t>
  </si>
  <si>
    <t>School Tax Deferred</t>
  </si>
  <si>
    <t>Paid</t>
  </si>
  <si>
    <t>Sheet  13</t>
  </si>
  <si>
    <t>Total Amount of Miscellaneous Revenues Not Anticipated (Sheet 19)</t>
  </si>
  <si>
    <t>80013-01</t>
  </si>
  <si>
    <t>80013-02</t>
  </si>
  <si>
    <t>80013-03</t>
  </si>
  <si>
    <t>80013-04</t>
  </si>
  <si>
    <t>81113-</t>
  </si>
  <si>
    <t>81114-</t>
  </si>
  <si>
    <t>81120-</t>
  </si>
  <si>
    <t>80013-05</t>
  </si>
  <si>
    <t>Deficit in Required Collection of Current Taxes (or)</t>
  </si>
  <si>
    <t>Balance for Support of Municipal Budget (or)</t>
  </si>
  <si>
    <t>*Excess Non-Budget Revenue (see footnote)</t>
  </si>
  <si>
    <t>*Deficit Non-Budget Revenue (see footnote)</t>
  </si>
  <si>
    <t>Total Amount to be Raised by Taxation</t>
  </si>
  <si>
    <t>*These items are applicable only when there is no "Amount to be Raised by Taxation" in the "Budget" column of the statement at the top of this sheet. In such instances, any excess or deficit in the above allocation would apply to "Non-Budget Revenue" only.</t>
  </si>
  <si>
    <t>(Continued)</t>
  </si>
  <si>
    <t>Miscellaneous  Revenues  Anticipated: Added By N.J.S. 40A:4-87</t>
  </si>
  <si>
    <t>Excess or Deficit</t>
  </si>
  <si>
    <t>Preparation by Registered Municipal Account (Statement of Statutory Auditor Only)</t>
  </si>
  <si>
    <t>Miscellaneous Revenue Not Anticipated:</t>
  </si>
  <si>
    <t>Proceeds of Sale of Foreclosed Property (Sheet 27)</t>
  </si>
  <si>
    <t>Miscellaneous Revenues Anticipated</t>
  </si>
  <si>
    <t>Required Collection on Current Taxes</t>
  </si>
  <si>
    <t>Deficit Balance - To Trial Balance (Sheet 3)</t>
  </si>
  <si>
    <t>Due From State of New Jersey</t>
  </si>
  <si>
    <t>Due To State of New Jersey</t>
  </si>
  <si>
    <t>(N.J.S.A. 52:27BB-55 as Amended by Chap. 211, P.L. 1981)</t>
  </si>
  <si>
    <t>Seventy (70) percent of Item 1</t>
  </si>
  <si>
    <t>(*) Including prepayments and overpayments applied.</t>
  </si>
  <si>
    <t>Answer  YES  or  NO</t>
  </si>
  <si>
    <t>Payments in Lieu of Taxes on Real Property</t>
  </si>
  <si>
    <t>The current year budget does not contain a Levy or Appropriation "CAP" waiver.</t>
  </si>
  <si>
    <t>I hereby certify that the above list of Chapter 159 insertions of revenue have been realized in cash or I have received</t>
  </si>
  <si>
    <t>written notification of the award of public or private revenue.  These insertions meet the statutory requirements of</t>
  </si>
  <si>
    <t>N.J.S.A. 40A:4-87 and matching funds have been provided if applicable.</t>
  </si>
  <si>
    <t xml:space="preserve">CFO Signature:  </t>
  </si>
  <si>
    <t>promulgated by the Division of Local Government Services, solely to assist the Chief Financial</t>
  </si>
  <si>
    <t>Officer in connection with the filing of the Annual Financial Statement for the year then</t>
  </si>
  <si>
    <t>APPROPRIATED RESERVES</t>
  </si>
  <si>
    <t>ended as required by N.J.S. 40A:5-12, as amended.</t>
  </si>
  <si>
    <t>Because the agreed-upon procedures do not constitute an examination of accounts made in</t>
  </si>
  <si>
    <t>accordance with generally accepted auditing standards, I do not express an opinion on any of</t>
  </si>
  <si>
    <t>RESERVE FOR DEBT SERVICE</t>
  </si>
  <si>
    <t>items prescribed by the Division and does not extend to the financial statements of the</t>
  </si>
  <si>
    <t>$1,049,977.50 divided by $1,500,000, or .699985.  The correct percentage to</t>
  </si>
  <si>
    <t>80013-06</t>
  </si>
  <si>
    <t>80013-07</t>
  </si>
  <si>
    <t>80013-08</t>
  </si>
  <si>
    <t>80013-09</t>
  </si>
  <si>
    <t>80013-10</t>
  </si>
  <si>
    <t>80013-11</t>
  </si>
  <si>
    <t>80013-12</t>
  </si>
  <si>
    <t>80013-13</t>
  </si>
  <si>
    <t>80013-14</t>
  </si>
  <si>
    <t>Deferred School Tax Revenue: (See School Taxes, Sheets 13 &amp; 14)</t>
  </si>
  <si>
    <t>SURPLUS  -  CURRENT  FUND</t>
  </si>
  <si>
    <t>1.</t>
  </si>
  <si>
    <t>2.</t>
  </si>
  <si>
    <t>3.</t>
  </si>
  <si>
    <t>4.</t>
  </si>
  <si>
    <t>5.</t>
  </si>
  <si>
    <t>6.</t>
  </si>
  <si>
    <t>7.</t>
  </si>
  <si>
    <t>Board of Education for use of local schools.</t>
  </si>
  <si>
    <t># Must include unpaid requisitions.</t>
  </si>
  <si>
    <t>xxxxxxxxxxx</t>
  </si>
  <si>
    <t>** Interest on Utility Assessment Notes must be included in the Utility Fund Budget appropriation "Interest on Notes".</t>
  </si>
  <si>
    <t>If there is a utility operated by the municipality of if a "utility fund" existed on the books of</t>
  </si>
  <si>
    <t>Chapter 99, P.L.  1997.</t>
  </si>
  <si>
    <t>account, do not sign this statement and do not remove any of the UTILITY sheets from the</t>
  </si>
  <si>
    <t>document.</t>
  </si>
  <si>
    <t>CERTIFICATION</t>
  </si>
  <si>
    <t>I hereby certify that there was no "utility fund" on the books of account and there was no</t>
  </si>
  <si>
    <t>County of</t>
  </si>
  <si>
    <t>,</t>
  </si>
  <si>
    <t>I have therefore removed from this statement the sheets pertaining only to utilities.</t>
  </si>
  <si>
    <t>Name</t>
  </si>
  <si>
    <t>Title</t>
  </si>
  <si>
    <t xml:space="preserve">(This must be signed by the Chief Financial Office, Comptroller, Auditor or Registered </t>
  </si>
  <si>
    <t>Municipal Account.)</t>
  </si>
  <si>
    <t>NOTE:</t>
  </si>
  <si>
    <t>When removing the utility sheets, please be sure to refasten the "index" sheet (the last sheet</t>
  </si>
  <si>
    <t>81108-00</t>
  </si>
  <si>
    <t>81111-00</t>
  </si>
  <si>
    <t>81112-00</t>
  </si>
  <si>
    <t>maximum amount that may be anticipated in 2013.</t>
  </si>
  <si>
    <t>RESERVE TO PAY BANS</t>
  </si>
  <si>
    <t>81109-00</t>
  </si>
  <si>
    <t>81105-00</t>
  </si>
  <si>
    <t>80014-14</t>
  </si>
  <si>
    <t>80014-15</t>
  </si>
  <si>
    <t>Investments</t>
  </si>
  <si>
    <t>are correct, that no transfers have been made to or from emergency appropriations and all statements contained herein</t>
  </si>
  <si>
    <t>Subtotal</t>
  </si>
  <si>
    <t>Added by N.J.S.  40A:4-87:(List)</t>
  </si>
  <si>
    <t>in Cash</t>
  </si>
  <si>
    <t>Excess or</t>
  </si>
  <si>
    <t>Deficit*</t>
  </si>
  <si>
    <t>STATEMENT  OF  BUDGET  APPROPRIATIONS</t>
  </si>
  <si>
    <t>Appropriations:</t>
  </si>
  <si>
    <t>Added by N.J.S. 40A:4-87</t>
  </si>
  <si>
    <t>Emergency</t>
  </si>
  <si>
    <t>Total Appropriations</t>
  </si>
  <si>
    <t>Add: Overexpenditures (See Footnote)</t>
  </si>
  <si>
    <t>Deduct  Expenditures:</t>
  </si>
  <si>
    <t>Surplus (General Budget)**</t>
  </si>
  <si>
    <t>Unexpended Balance Canceled (See Footnote)</t>
  </si>
  <si>
    <t>either an item of revenue "Deficit (General Budget)" or an item of appropriation "Surplus (General</t>
  </si>
  <si>
    <t>Budget)"</t>
  </si>
  <si>
    <t>SECTION 1:</t>
  </si>
  <si>
    <t>Revenue Realized:</t>
  </si>
  <si>
    <t>Budget Revenue (Not Including "Deficit (General Budget)")</t>
  </si>
  <si>
    <t>Miscellaneous Revenue Not Anticipated</t>
  </si>
  <si>
    <t>Total Revenue Realized</t>
  </si>
  <si>
    <t>Expenditures:</t>
  </si>
  <si>
    <t>Appropriations (Not Including "Surplus (General Budget)")</t>
  </si>
  <si>
    <t>Expended Without Appropriation</t>
  </si>
  <si>
    <t>Cash Refund of Prior Year's Revenue</t>
  </si>
  <si>
    <t>in the statement) in order to provide a protective cover sheet to the back of the document.</t>
  </si>
  <si>
    <t>Certification is hereby made that the Net Valuation Taxable of property liable to taxation for</t>
  </si>
  <si>
    <t>with the requirement of N.J.S.A.  54:4-35, was in the amount of $</t>
  </si>
  <si>
    <t>SIGNATURE OF TAX ASSESSOR</t>
  </si>
  <si>
    <t>MUNICIPALITY</t>
  </si>
  <si>
    <t>COUNTY</t>
  </si>
  <si>
    <t>Sheet  2</t>
  </si>
  <si>
    <t>Fed I.D. #</t>
  </si>
  <si>
    <t>Municipality</t>
  </si>
  <si>
    <t>County</t>
  </si>
  <si>
    <t>Report  of  Federal  and  State  Financial  Assistance</t>
  </si>
  <si>
    <t>Expenditures  of  Awards</t>
  </si>
  <si>
    <t xml:space="preserve">Fiscal Year Ending: </t>
  </si>
  <si>
    <t>CASH</t>
  </si>
  <si>
    <t>TAXES RECEIVABLE:</t>
  </si>
  <si>
    <t>PRIOR</t>
  </si>
  <si>
    <t>CURRENT</t>
  </si>
  <si>
    <t>SUBTOTAL</t>
  </si>
  <si>
    <t>TAX TITLE LIENS RECEIVABLE</t>
  </si>
  <si>
    <t>PROPERTY ACQUIRED FOR TAXES</t>
  </si>
  <si>
    <t>On Item 1 if Duplicate (Analysis) Figure is used; be sure to include</t>
  </si>
  <si>
    <t>Senior Citizens and Veterans Deductions.</t>
  </si>
  <si>
    <t>**  Tax appeals pursuant to R.S. 54:3-21 et seq and/or R.S. 54:48-1 et seq approved by resolution of the governing</t>
  </si>
  <si>
    <t>kept and maintained in the Local Unit.</t>
  </si>
  <si>
    <t>Deduct Cash Liabilities Marked with "C" on Trial Balance</t>
  </si>
  <si>
    <t>Cash Surplus</t>
  </si>
  <si>
    <t>Deficit in Cash Surplus</t>
  </si>
  <si>
    <t>Deferred Charges #</t>
  </si>
  <si>
    <t>Cash Deficit #</t>
  </si>
  <si>
    <t>Total Other Assets</t>
  </si>
  <si>
    <t>Sheet  21</t>
  </si>
  <si>
    <t>Other Assets Pledged to Surplus:*</t>
  </si>
  <si>
    <t>(1) Due from State of N.J. Senior                      Citizens and Veterans Deduction</t>
  </si>
  <si>
    <t>(FOR  MUNICIPALITIES  ONLY)</t>
  </si>
  <si>
    <t>Amount of Levy as per Duplicate (Analysis) #</t>
  </si>
  <si>
    <t>82101-00</t>
  </si>
  <si>
    <t>$</t>
  </si>
  <si>
    <t>82113-00</t>
  </si>
  <si>
    <t>82102-00</t>
  </si>
  <si>
    <t>or</t>
  </si>
  <si>
    <t>(Abstract of Ratables)</t>
  </si>
  <si>
    <t>Amount Levied for Added Taxes under</t>
  </si>
  <si>
    <t>N.J.S.A. 54:4-63.12 et seq.</t>
  </si>
  <si>
    <t>N.J.S.A. 54:4-63.1 et seq.</t>
  </si>
  <si>
    <t>Amount Levied for Omitted Taxes under</t>
  </si>
  <si>
    <t>82104-00</t>
  </si>
  <si>
    <t>82103-00</t>
  </si>
  <si>
    <t>5a.</t>
  </si>
  <si>
    <t>5b.</t>
  </si>
  <si>
    <t>Reductions due to tax appeals **</t>
  </si>
  <si>
    <t>5c.</t>
  </si>
  <si>
    <t>82106-00</t>
  </si>
  <si>
    <t>82107-00</t>
  </si>
  <si>
    <t>Transferred to Foreclosed Property</t>
  </si>
  <si>
    <t>82108-00</t>
  </si>
  <si>
    <t>8.</t>
  </si>
  <si>
    <t>9.</t>
  </si>
  <si>
    <t>10.</t>
  </si>
  <si>
    <t>17 &amp; 17a.</t>
  </si>
  <si>
    <t>22a.</t>
  </si>
  <si>
    <t>25.</t>
  </si>
  <si>
    <t>25a.</t>
  </si>
  <si>
    <t>26.</t>
  </si>
  <si>
    <t>27.</t>
  </si>
  <si>
    <t>28.</t>
  </si>
  <si>
    <t>29.</t>
  </si>
  <si>
    <t>30.</t>
  </si>
  <si>
    <t>32.</t>
  </si>
  <si>
    <t>33.</t>
  </si>
  <si>
    <t>35 &amp; 35a.</t>
  </si>
  <si>
    <t>36.</t>
  </si>
  <si>
    <t>37.</t>
  </si>
  <si>
    <t>38.</t>
  </si>
  <si>
    <t>39.</t>
  </si>
  <si>
    <t>Emergency - Damage to Roads and Bridges by Snow, Ice, etc.; Public Exigencies Caused by Civil Disturbances</t>
  </si>
  <si>
    <t>40.</t>
  </si>
  <si>
    <t>Sheet  69</t>
  </si>
  <si>
    <t>41 &amp; 55.</t>
  </si>
  <si>
    <t>42 &amp; 56.</t>
  </si>
  <si>
    <t>43 &amp; 57.</t>
  </si>
  <si>
    <t>45 &amp; 59.</t>
  </si>
  <si>
    <t>44 &amp; 58.</t>
  </si>
  <si>
    <t>46 &amp; 60.</t>
  </si>
  <si>
    <t>47 &amp; 61.</t>
  </si>
  <si>
    <t>EMERGENCY  AUTHORIZATIONS  UNDER  N.J.S.  40A:4-47  WHICH  HAVE  BEEN</t>
  </si>
  <si>
    <t>FUNDED  OR REFUNDED  UNDER  N.J.S. 40A:2-3  OR  N.J.S.  40A:2-51</t>
  </si>
  <si>
    <t>Purpose</t>
  </si>
  <si>
    <t>Amount</t>
  </si>
  <si>
    <t>Sheet  28</t>
  </si>
  <si>
    <t>In Favor of</t>
  </si>
  <si>
    <t>On Account of</t>
  </si>
  <si>
    <t>Date Entered</t>
  </si>
  <si>
    <t>Appropriated for</t>
  </si>
  <si>
    <t>in Budget of</t>
  </si>
  <si>
    <t>- MANDATORY  CHARGES  ONLY -</t>
  </si>
  <si>
    <t>CURRENT,  TRUST,  AND  GENERAL  CAPITAL  FUNDS</t>
  </si>
  <si>
    <t>exact copy of the original on file with the clerk of the governing body, that all calculations, extensions and additions</t>
  </si>
  <si>
    <t>POST  CLOSING</t>
  </si>
  <si>
    <t>Sheet  27</t>
  </si>
  <si>
    <t>BOND ANTICIPATION NOTES PAYABLE</t>
  </si>
  <si>
    <t>Receipts</t>
  </si>
  <si>
    <t>Sheet  6b</t>
  </si>
  <si>
    <t>SCHEDULE  OF  CAPITAL  LEASE  PROGRAM  OBLIGATIONS</t>
  </si>
  <si>
    <t>Lease Obligation Outstanding</t>
  </si>
  <si>
    <t>For Interest/Fees</t>
  </si>
  <si>
    <t>Report</t>
  </si>
  <si>
    <t>per Audit</t>
  </si>
  <si>
    <t>Caused By</t>
  </si>
  <si>
    <t>Amount in</t>
  </si>
  <si>
    <t>Resulting</t>
  </si>
  <si>
    <t>as at</t>
  </si>
  <si>
    <t>Sheet  29</t>
  </si>
  <si>
    <t>Canceled</t>
  </si>
  <si>
    <t>By Resolution</t>
  </si>
  <si>
    <t>Authorized</t>
  </si>
  <si>
    <t>Not Less Than</t>
  </si>
  <si>
    <t>1/5 of Amount</t>
  </si>
  <si>
    <t>Authorized*</t>
  </si>
  <si>
    <t>80025-00</t>
  </si>
  <si>
    <t>80026-00</t>
  </si>
  <si>
    <t>Cancelled</t>
  </si>
  <si>
    <t>It is hereby certified that all outstanding "Special Emergency" appropriations have been adopted by the governing body in full compliance with N.J.S. 40A:4-55.1 et seq. and</t>
  </si>
  <si>
    <t>TAX MAP; REVALUATION; MASTER PLAN; REVISION AND CODIFICATION OF ORDINANCES; DRAINAGE MAPS</t>
  </si>
  <si>
    <t>It is hereby certified that all outstanding "Special Emergency" appropriations have been adopted by the governing body in full compliance with N.J.S. 40A:4-53 et seq. and</t>
  </si>
  <si>
    <t>Local District School Tax-Municipal Open Space Tax</t>
  </si>
  <si>
    <t>TRIAL  BALANCE - CURRENT  FUND (CONT'D)</t>
  </si>
  <si>
    <t>Section in the same manner as set forth in General Capital Fund on Sheet 8</t>
  </si>
  <si>
    <t>Operating and Capital Sections</t>
  </si>
  <si>
    <t>RESERVE FOR CAPITAL PROJECTS</t>
  </si>
  <si>
    <t>EMERGENCY</t>
  </si>
  <si>
    <t>Received in Cash from State</t>
  </si>
  <si>
    <t>Posting Calculation do not</t>
  </si>
  <si>
    <t>Remove</t>
  </si>
  <si>
    <t>Taxes Pending Appeals</t>
  </si>
  <si>
    <t>Interest Earned on Taxes Pending Appeals</t>
  </si>
  <si>
    <t>Interest Earned on Taxes Pending State Appeals</t>
  </si>
  <si>
    <t>Closed to Results of Operation</t>
  </si>
  <si>
    <t>(Portion of Appeal won by Municipality, including Interest)</t>
  </si>
  <si>
    <t>Taxes Pending Appeals*</t>
  </si>
  <si>
    <t>* Includes State Tax Court and County Board of Taxation</t>
  </si>
  <si>
    <t>IT IS HEREBY INCUMBENT UPON THE CHIEF FINANCIAL OFFICER, WHEN NOT PREPARED</t>
  </si>
  <si>
    <t>STATEMENT WITH THE PREPARER, SO AS TO BE FAMILIAR WITH THE REPRESENTATIONS</t>
  </si>
  <si>
    <t>AND ASSERTIONS MADE HEREIN.</t>
  </si>
  <si>
    <t>and that the</t>
  </si>
  <si>
    <t>,  County  of</t>
  </si>
  <si>
    <t>Further,  I  do  hereby  certify that I,</t>
  </si>
  <si>
    <t>Federal and State Grants Receivable</t>
  </si>
  <si>
    <t>Appropriated Reserves for Federal and State Grants</t>
  </si>
  <si>
    <t>Unappropriated Reserves for Federal and State Grants</t>
  </si>
  <si>
    <t>Regional School Tax-Regional High School Tax</t>
  </si>
  <si>
    <t>County Taxes Payable-Special District Taxes</t>
  </si>
  <si>
    <t>General Budget Revenues</t>
  </si>
  <si>
    <t>Allocation of Current Tax Collections</t>
  </si>
  <si>
    <t>General Budget Appropriations</t>
  </si>
  <si>
    <t>Emergency Appropriations for Local District School Purposes</t>
  </si>
  <si>
    <t>Schedule of Miscellaneous Revenues Not Anticipated</t>
  </si>
  <si>
    <t>Surplus Account and Analysis of Balance</t>
  </si>
  <si>
    <t>Sheet  5</t>
  </si>
  <si>
    <t>TRIAL  BALANCE  --  TRUST  FUNDS</t>
  </si>
  <si>
    <t>Sheet  6</t>
  </si>
  <si>
    <t>SCHEDULE  OF  LOANS  ISSUED  AND  OUTSTANDING</t>
  </si>
  <si>
    <t>MUNICIPALITIES  ONLY</t>
  </si>
  <si>
    <t>not plan to conduct one in the current year.</t>
  </si>
  <si>
    <t>N.J.S.  40A:4-53  SPECIAL  EMERGENCY  -</t>
  </si>
  <si>
    <t>FOR FLOOD CONTROL; PRELIMINARY ENGINEERING STUDIES, ETC. FOR SANITARY SEWER SYSTEM; MUNICIPAL</t>
  </si>
  <si>
    <t>Municipal Public Defender -- P.L. 1998, C. 256</t>
  </si>
  <si>
    <t>Transferred to Foreclosed Tax Title Liens:</t>
  </si>
  <si>
    <t>83108-00</t>
  </si>
  <si>
    <t>83109-00</t>
  </si>
  <si>
    <t>83110-00</t>
  </si>
  <si>
    <t>83111-00</t>
  </si>
  <si>
    <t>Added Taxes</t>
  </si>
  <si>
    <t>Added Tax Title Liens</t>
  </si>
  <si>
    <t>Taxes - Transfers to Tax Title Liens</t>
  </si>
  <si>
    <t>Tax Title Liens - Transfers from Taxes</t>
  </si>
  <si>
    <t>83104-00</t>
  </si>
  <si>
    <t>83107-00</t>
  </si>
  <si>
    <t>(1)</t>
  </si>
  <si>
    <t>Balance Before Cash Payments</t>
  </si>
  <si>
    <t>Balance Brought Down</t>
  </si>
  <si>
    <t>83116-00</t>
  </si>
  <si>
    <t>83117-00</t>
  </si>
  <si>
    <t>83118-00</t>
  </si>
  <si>
    <t>83119-00</t>
  </si>
  <si>
    <t>83123-00</t>
  </si>
  <si>
    <t>83121-00</t>
  </si>
  <si>
    <t>83122-00</t>
  </si>
  <si>
    <t>15.</t>
  </si>
  <si>
    <t>16.</t>
  </si>
  <si>
    <t>Percentage of Cash Collections to Adjusted Amount Outstanding</t>
  </si>
  <si>
    <t>(Item No. 10 divided by Item No. 9) is</t>
  </si>
  <si>
    <t>17.</t>
  </si>
  <si>
    <t>Item No. 14 multiplied by percentage shown above is</t>
  </si>
  <si>
    <t>and represents the</t>
  </si>
  <si>
    <t>83125-00</t>
  </si>
  <si>
    <t>(administered by</t>
  </si>
  <si>
    <t>Report expenditures from federal pass-through programs received directly from state government.</t>
  </si>
  <si>
    <t>Report expenditures from state programs received directly from state government or indirectly from</t>
  </si>
  <si>
    <t>permanent financing submitted.</t>
  </si>
  <si>
    <t>The arrangement of the schedules is shown by the index appearing at the bottom hereof. The statement is prepared</t>
  </si>
  <si>
    <t>Municipal Budget Local Examination Certification</t>
  </si>
  <si>
    <t>Report of Federal and State Financial Assistance Expenditures of Awards</t>
  </si>
  <si>
    <t>Instructions and Certification</t>
  </si>
  <si>
    <t>Trial Balance-Current Fund</t>
  </si>
  <si>
    <t>Trial Balance-Public Assistance Fund</t>
  </si>
  <si>
    <t>Trial Balance-Federal and State Funds</t>
  </si>
  <si>
    <t>accompanying Annual Financial Statement from the books of account and records made</t>
  </si>
  <si>
    <t>Listing of agreed-upon procedures not performed and/or matters coming to my attention of</t>
  </si>
  <si>
    <t>DEBT  SERVICE  SCHEDULE  FOR  ASSESSMENT  NOTES</t>
  </si>
  <si>
    <t>SCHEDULE  OF  IMPROVEMENT  AUTHORIZATIONS  (GENERAL  CAPITAL  FUND)</t>
  </si>
  <si>
    <t>IMPROVEMENTS</t>
  </si>
  <si>
    <t>Specify each authorization by purpose. Do</t>
  </si>
  <si>
    <t>not merely designate by a code number.</t>
  </si>
  <si>
    <t>Funded</t>
  </si>
  <si>
    <t>Unfunded</t>
  </si>
  <si>
    <t>Authorizations</t>
  </si>
  <si>
    <t xml:space="preserve">Page Total    </t>
  </si>
  <si>
    <t>Place an * before each item of "Improvement" which represents a funding or refunding of an emergency authorization.</t>
  </si>
  <si>
    <t>Sheet  35</t>
  </si>
  <si>
    <t>SCHEDULE  OF  IMPROVEMENT  AUTHORIZATIONS  (GENERAL  CAPITAL  FUND) (cont.)</t>
  </si>
  <si>
    <t>GENERAL  CAPITAL  FUND</t>
  </si>
  <si>
    <t>SCHEDULE  OF  CAPITAL  IMPROVEMENT  FUND</t>
  </si>
  <si>
    <t>ANALYSIS  OF  TRUST  ASSESSMENT  CASH  AND  INVESTMENTS  PLEDGED  TO</t>
  </si>
  <si>
    <t>LIABILITIES  AND  SURPLUS</t>
  </si>
  <si>
    <t>Audit</t>
  </si>
  <si>
    <t>Balance</t>
  </si>
  <si>
    <t>RECEIPTS</t>
  </si>
  <si>
    <t>Assessments</t>
  </si>
  <si>
    <t>and Liens</t>
  </si>
  <si>
    <t>Current</t>
  </si>
  <si>
    <t>Budget</t>
  </si>
  <si>
    <t>Disbursements</t>
  </si>
  <si>
    <t>Title of Liability to which Cash</t>
  </si>
  <si>
    <t>and Investments are Pledged</t>
  </si>
  <si>
    <t>Sheet  7</t>
  </si>
  <si>
    <t>of Note</t>
  </si>
  <si>
    <t>of</t>
  </si>
  <si>
    <t>Maturity</t>
  </si>
  <si>
    <t>Rate</t>
  </si>
  <si>
    <t>Interest</t>
  </si>
  <si>
    <t>For Interest</t>
  </si>
  <si>
    <t>**</t>
  </si>
  <si>
    <t>Computed to</t>
  </si>
  <si>
    <t>(Insert Date)</t>
  </si>
  <si>
    <t>80051-01</t>
  </si>
  <si>
    <t>80051-02</t>
  </si>
  <si>
    <t>Sheet  34</t>
  </si>
  <si>
    <t>MEMO:* See Sheet 33 for clarification of "Original Date of Issue"</t>
  </si>
  <si>
    <t>submitted with statement.</t>
  </si>
  <si>
    <t>** Interest on Assessment Notes must be included in the Current Fund Budget appropriation "Interest on Notes".</t>
  </si>
  <si>
    <t>TRIAL  BALANCE  --  TRUST  FUNDS (CONT'D)</t>
  </si>
  <si>
    <t xml:space="preserve">Total                            70000-  </t>
  </si>
  <si>
    <t>80033-10</t>
  </si>
  <si>
    <t xml:space="preserve">80033-11  </t>
  </si>
  <si>
    <t xml:space="preserve">80033-12  </t>
  </si>
  <si>
    <t>Total "Interest on Bonds - Debt Service" (*Items)</t>
  </si>
  <si>
    <t xml:space="preserve">80033-13  </t>
  </si>
  <si>
    <t>Sheet  31</t>
  </si>
  <si>
    <t>TYPE  I  SCHOOL  TERM  BONDS</t>
  </si>
  <si>
    <t>80034-01</t>
  </si>
  <si>
    <t>80034-03</t>
  </si>
  <si>
    <t xml:space="preserve">80034-04  </t>
  </si>
  <si>
    <t xml:space="preserve">80034-05  </t>
  </si>
  <si>
    <t>GRANTS RECEIVABLE</t>
  </si>
  <si>
    <t>UNAPPROPRIATED RESERVES</t>
  </si>
  <si>
    <t>TRIAL  BALANCE - CURRENT  FUND</t>
  </si>
  <si>
    <t>* Include Deposits In Transit</t>
  </si>
  <si>
    <t>** Be sure to include a Public Assistance Account reconciliation and trial balance if the municipality maintains such a bank account.</t>
  </si>
  <si>
    <t>REQUIRED  CERTIFICATION</t>
  </si>
  <si>
    <t>I hereby certify that all amounts shown in the "Cash on Deposit" column on Sheet 9 and 9(a) have been verified with the</t>
  </si>
  <si>
    <t>Current Tax Levy</t>
  </si>
  <si>
    <t>Due from/to State of New Jersey for Senior Citizens and Veterans Deductions</t>
  </si>
  <si>
    <t>Note: If municipality conducted Accelerated Tax Sale or Tax Levy Sale check here ____ and complete sheet 22a.</t>
  </si>
  <si>
    <t>14.</t>
  </si>
  <si>
    <t>Calculation of Current Taxes Realized in Cash:</t>
  </si>
  <si>
    <t>Total of Line  10</t>
  </si>
  <si>
    <t xml:space="preserve">Less: </t>
  </si>
  <si>
    <t>Reserve for Tax Appeals Pending</t>
  </si>
  <si>
    <t>State Division of Tax Appeals</t>
  </si>
  <si>
    <t>To Current Taxes Realized in Cash (Sheet 17)</t>
  </si>
  <si>
    <t>ACCELERATED  TAX  SALE  /  TAX  LEVY  SALE  -  CHAPTER  99</t>
  </si>
  <si>
    <t>85033-00</t>
  </si>
  <si>
    <t>85034-00</t>
  </si>
  <si>
    <t>85041-00</t>
  </si>
  <si>
    <t>* Not including Type 1 school debt service, emergency authorizations-schools, transfer to</t>
  </si>
  <si>
    <t xml:space="preserve">as  of  December  31, </t>
  </si>
  <si>
    <t>Summary Statement of Debt Service Requirements-Municipal (or County)</t>
  </si>
  <si>
    <t>Summary Statement of Debt Service Requirements-School-Type I and Current</t>
  </si>
  <si>
    <t>Debt Service for Notes (Other than Assessment Notes)</t>
  </si>
  <si>
    <t>Improvement Authorizations</t>
  </si>
  <si>
    <t>Capital Improvement Fund</t>
  </si>
  <si>
    <t>Flood Control; Preliminary Studies, etc. for Sanitary Sewer Systems, Municipal Consolidation Act; Flood or</t>
  </si>
  <si>
    <t>General Capital Surplus, Bond Covenants</t>
  </si>
  <si>
    <t>Required Information (N.J.S.A. 52:27BB-55 as amended by Chap. 211, P.L. 1981)</t>
  </si>
  <si>
    <t>Trial Balance-Utility Fund</t>
  </si>
  <si>
    <t>Trial Balance-Utility Assessment Trust Funds</t>
  </si>
  <si>
    <t>Analysis of Utility Assessment Trust Cash and Investments Pledged to Liabilities and Surplus</t>
  </si>
  <si>
    <t>Utility Revenues and Appropriations</t>
  </si>
  <si>
    <t>Debt Service for Utility Notes (Other than Utility Assessment Notes)</t>
  </si>
  <si>
    <t>Debt Service for Utility Assessment Notes</t>
  </si>
  <si>
    <t>Improvement Authorizations (Utility Capital)</t>
  </si>
  <si>
    <t>Capital Improvement Fund and Down Payments</t>
  </si>
  <si>
    <t>DISTRICT  SCHOOL  PURPOSES</t>
  </si>
  <si>
    <t>(EXCEPT  FOR  TYPE I SCHOOL DEBT SERVICE)</t>
  </si>
  <si>
    <t>Sheet  18</t>
  </si>
  <si>
    <t>N.J.S.  40A:4-46 (After adoption of Budget)</t>
  </si>
  <si>
    <t>Total Authorizations</t>
  </si>
  <si>
    <t>Paid or Charged</t>
  </si>
  <si>
    <t>CURRENT  FUND</t>
  </si>
  <si>
    <t>Sheet  19</t>
  </si>
  <si>
    <t>Amount Realized</t>
  </si>
  <si>
    <t>SCHEDULE  OF  MISCELLANEOUS  REVENUES</t>
  </si>
  <si>
    <t>NOT  ANTICIPATED</t>
  </si>
  <si>
    <t>Sheet  20</t>
  </si>
  <si>
    <t>Have payments been made for all bonded obligations or notes due on or before</t>
  </si>
  <si>
    <t xml:space="preserve">  If answer is "NO" give details</t>
  </si>
  <si>
    <t>just ended?</t>
  </si>
  <si>
    <t>=</t>
  </si>
  <si>
    <t xml:space="preserve">$ </t>
  </si>
  <si>
    <t>Levy --</t>
  </si>
  <si>
    <t>State Taxes</t>
  </si>
  <si>
    <t>Amounts due Special Districts</t>
  </si>
  <si>
    <t>Sheet  39</t>
  </si>
  <si>
    <t>Unpaid</t>
  </si>
  <si>
    <t>IMPORTANT !!</t>
  </si>
  <si>
    <t>NOTE: If answer to Item B1 is YES, then Item B2 must be answered</t>
  </si>
  <si>
    <t>obligations or notes exceed 25% of the total appropriations for operating purpose in the budget for the year</t>
  </si>
  <si>
    <t>IMPORTANT !</t>
  </si>
  <si>
    <t>READ  INSTRUCTIONS</t>
  </si>
  <si>
    <t>INSTRUCTIONS</t>
  </si>
  <si>
    <t>The following certification is to be used ONLY in the event there is NO municipality</t>
  </si>
  <si>
    <t>Fund Balance</t>
  </si>
  <si>
    <t>ACCOUNTS  #1 AND #2 *</t>
  </si>
  <si>
    <t>Public Welfare, General Assistance Program.</t>
  </si>
  <si>
    <t>(Assessment  Section  Must  Be  Separately  Stated)</t>
  </si>
  <si>
    <t>Assessment Serial Bond Issues:</t>
  </si>
  <si>
    <t>Assessment Bond Anticipation Note Issues:</t>
  </si>
  <si>
    <t>Other Liabilities</t>
  </si>
  <si>
    <t>Trust Surplus</t>
  </si>
  <si>
    <t>*Less Assets "Unfinanced"</t>
  </si>
  <si>
    <t>*Show as red figure</t>
  </si>
  <si>
    <t>xxxxxxxxx</t>
  </si>
  <si>
    <t>Note: Sections N.J.S.  40A:4-61, 40A:4-62 and 40A:4-63 of the Local Budget Law require that</t>
  </si>
  <si>
    <t>FEDERAL  AND  STATE  GRANTS  RECEIVABLE (cont'd)</t>
  </si>
  <si>
    <t>85001-00</t>
  </si>
  <si>
    <t>85002-00</t>
  </si>
  <si>
    <t>85003-00</t>
  </si>
  <si>
    <t>85004-00</t>
  </si>
  <si>
    <t>85031-00</t>
  </si>
  <si>
    <t>85032-00</t>
  </si>
  <si>
    <r>
      <t xml:space="preserve">The tax collection rate </t>
    </r>
    <r>
      <rPr>
        <b/>
        <sz val="10"/>
        <rFont val="Arial"/>
        <family val="2"/>
      </rPr>
      <t>exceeded 90%</t>
    </r>
    <r>
      <rPr>
        <sz val="10"/>
        <rFont val="Arial"/>
        <family val="2"/>
      </rPr>
      <t>;</t>
    </r>
  </si>
  <si>
    <t>LIST  BANKS  AND  AMOUNTS  SUPPORTING  "CASH  ON  DEPOSIT"</t>
  </si>
  <si>
    <t>separate bank accounts be maintained for each allocated fund.</t>
  </si>
  <si>
    <t>Sheet  9a</t>
  </si>
  <si>
    <t>Sheet  10</t>
  </si>
  <si>
    <t>Revenue</t>
  </si>
  <si>
    <t>Realized</t>
  </si>
  <si>
    <t>Received</t>
  </si>
  <si>
    <t>Grant</t>
  </si>
  <si>
    <t>Totals</t>
  </si>
  <si>
    <t>Sheet  34a</t>
  </si>
  <si>
    <t>CAPITAL FUND BALANCE</t>
  </si>
  <si>
    <t>CAPITAL SECTION:</t>
  </si>
  <si>
    <t>FIXED CAPITAL:</t>
  </si>
  <si>
    <t>I have prepared the post-closing trial balances, related statement and analyses included in the</t>
  </si>
  <si>
    <t>Certified by me</t>
  </si>
  <si>
    <t>this</t>
  </si>
  <si>
    <t>day of</t>
  </si>
  <si>
    <t>(Registered Municipal Accountant)</t>
  </si>
  <si>
    <t>(Firm Name)</t>
  </si>
  <si>
    <t>(Address)</t>
  </si>
  <si>
    <t>(Phone Number)</t>
  </si>
  <si>
    <t>Date:</t>
  </si>
  <si>
    <t>Sheet  1b</t>
  </si>
  <si>
    <t>MUNICIPAL  BUDGET  LOCAL  EXAMINATION  QUALIFICATION  CERTIFICATION</t>
  </si>
  <si>
    <t>BY</t>
  </si>
  <si>
    <t>CHIEF  FINANCIAL  OFFICER</t>
  </si>
  <si>
    <t>One of the following Certifications must be signed by the Chief Financial Officer if</t>
  </si>
  <si>
    <t>your municipality is eligible for local examination.</t>
  </si>
  <si>
    <t>CERTIFICATION  OF  QUALIFYING  MUNICIPALITY</t>
  </si>
  <si>
    <r>
      <t xml:space="preserve">The outstanding indebtedness of the previous fiscal year </t>
    </r>
    <r>
      <rPr>
        <b/>
        <sz val="10"/>
        <rFont val="Arial"/>
        <family val="2"/>
      </rPr>
      <t>is not in excess of 3.5%;</t>
    </r>
  </si>
  <si>
    <t>appropriations;</t>
  </si>
  <si>
    <r>
      <t xml:space="preserve">All emergencies approved for the previous fiscal year </t>
    </r>
    <r>
      <rPr>
        <b/>
        <sz val="10"/>
        <rFont val="Arial"/>
        <family val="2"/>
      </rPr>
      <t>did not exceed 3%</t>
    </r>
    <r>
      <rPr>
        <sz val="10"/>
        <rFont val="Arial"/>
        <family val="2"/>
      </rPr>
      <t xml:space="preserve"> of total</t>
    </r>
  </si>
  <si>
    <t>Interfund Accounts Receivable</t>
  </si>
  <si>
    <t>Government Services.  Had I performed additional procedures or had I made an examination</t>
  </si>
  <si>
    <t>of the financial statements in accordance with generally accepted auditing standards, other</t>
  </si>
  <si>
    <t>31 &amp;31a.</t>
  </si>
  <si>
    <t>49a &amp; 63a.</t>
  </si>
  <si>
    <t>Summary Statement of Loan Requirements</t>
  </si>
  <si>
    <t xml:space="preserve">matters might have come to my attention that would have been reported to the governing </t>
  </si>
  <si>
    <t xml:space="preserve">body and Division.  This Annual Financial Statement relates only to the accounts and </t>
  </si>
  <si>
    <t>AUTHORIZED AND UNCOMPLETED</t>
  </si>
  <si>
    <t>RESERVE FOR DEFERRED AMORTIZATION</t>
  </si>
  <si>
    <t>RESERVE FOR AMORTIZATION</t>
  </si>
  <si>
    <t>ENCUMBRANCES</t>
  </si>
  <si>
    <t>Utilize this sheet only if you conducted an Accelerated Tax Sale or Tax Levy Sale pursuant to</t>
  </si>
  <si>
    <t>(1) Utilizing  Accelerated  Tax  Sale</t>
  </si>
  <si>
    <t>Total of Line 10 Collected in Cash (sheet 22)</t>
  </si>
  <si>
    <r>
      <t>LESS</t>
    </r>
    <r>
      <rPr>
        <sz val="11"/>
        <rFont val="Arial"/>
        <family val="2"/>
      </rPr>
      <t>: Proceeds from  Accelerated  Tax  Sale</t>
    </r>
  </si>
  <si>
    <t>Percentage of Collection Excluding Accelerated Tax Sale Proceeds</t>
  </si>
  <si>
    <t>(Net Cash Collected divided by Item 5c) is</t>
  </si>
  <si>
    <t>Sheet  22a</t>
  </si>
  <si>
    <t>(2) Utilizing  Tax  Levy  Sale</t>
  </si>
  <si>
    <r>
      <t>LESS</t>
    </r>
    <r>
      <rPr>
        <sz val="11"/>
        <rFont val="Arial"/>
        <family val="2"/>
      </rPr>
      <t>: Proceeds from   Tax  Levy  Sale (excluding premium)</t>
    </r>
  </si>
  <si>
    <t>Information Required for</t>
  </si>
  <si>
    <t>Responses and Data</t>
  </si>
  <si>
    <t>Name of Municipality</t>
  </si>
  <si>
    <t xml:space="preserve">Type </t>
  </si>
  <si>
    <t>Governing Body Type</t>
  </si>
  <si>
    <t xml:space="preserve">Phone </t>
  </si>
  <si>
    <t>Fax</t>
  </si>
  <si>
    <t>xxxxxxxxxx</t>
  </si>
  <si>
    <t>REGIONAL  SCHOOL  TAX</t>
  </si>
  <si>
    <t>(Provide a separate statement for each Regional District involved)</t>
  </si>
  <si>
    <t>REGIONAL  HIGH  SCHOOL  TAX</t>
  </si>
  <si>
    <t>Sheet  14</t>
  </si>
  <si>
    <t>SPECIAL  DISTRICT  TAXES</t>
  </si>
  <si>
    <t>County Taxes</t>
  </si>
  <si>
    <t>Due County for Added and Omitted Taxes</t>
  </si>
  <si>
    <t>General County</t>
  </si>
  <si>
    <t>County Library</t>
  </si>
  <si>
    <t>County Health</t>
  </si>
  <si>
    <t>County Open Space Preservation</t>
  </si>
  <si>
    <t>Fire -</t>
  </si>
  <si>
    <t>Sewer -</t>
  </si>
  <si>
    <t>Water -</t>
  </si>
  <si>
    <t>Garbage -</t>
  </si>
  <si>
    <t>Sheet  15</t>
  </si>
  <si>
    <t>Footnote: Please state the number of districts in each instance.</t>
  </si>
  <si>
    <t>80003-01</t>
  </si>
  <si>
    <t>80003-02</t>
  </si>
  <si>
    <t>80003-03</t>
  </si>
  <si>
    <t>80003-04</t>
  </si>
  <si>
    <t>80003-05</t>
  </si>
  <si>
    <t>80003-06</t>
  </si>
  <si>
    <t>80003-07</t>
  </si>
  <si>
    <t>80003-08</t>
  </si>
  <si>
    <t>80003-09</t>
  </si>
  <si>
    <t>Excess of Anticipated Revenues:</t>
  </si>
  <si>
    <t>Hurricane Damage</t>
  </si>
  <si>
    <t>Sub Total</t>
  </si>
  <si>
    <t>No sheets should be eliminated, except utility fund sheets under the conditions stipulated on sheet 2. Those sheets</t>
  </si>
  <si>
    <t>not filled in should be marked "Not Applicable".</t>
  </si>
  <si>
    <t>INDEX</t>
  </si>
  <si>
    <t>1, 1a, &amp; 1b.</t>
  </si>
  <si>
    <t>Certification and Affidavit</t>
  </si>
  <si>
    <t>1d.</t>
  </si>
  <si>
    <t>1c.</t>
  </si>
  <si>
    <t>6a.</t>
  </si>
  <si>
    <t>9 &amp; 9a.</t>
  </si>
  <si>
    <t>11 &amp; 11a.</t>
  </si>
  <si>
    <t>Note:</t>
  </si>
  <si>
    <t>Sr. Citizens Deductions Per Tax Billings</t>
  </si>
  <si>
    <t>Veterans Deductions Per Tax Billings</t>
  </si>
  <si>
    <t>the percentage represented by the cash collections would be</t>
  </si>
  <si>
    <t>Annual Financial Statement</t>
  </si>
  <si>
    <t>the post-closing trial balances, related statements and analyses.  In connection with the</t>
  </si>
  <si>
    <t>(2)</t>
  </si>
  <si>
    <t>State</t>
  </si>
  <si>
    <t>Expenditures</t>
  </si>
  <si>
    <t>80012-03</t>
  </si>
  <si>
    <t>80012-04</t>
  </si>
  <si>
    <t>80012-05</t>
  </si>
  <si>
    <t>80012-06</t>
  </si>
  <si>
    <t>80012-07</t>
  </si>
  <si>
    <t>80012-08</t>
  </si>
  <si>
    <t>80012-09</t>
  </si>
  <si>
    <t>80012-10</t>
  </si>
  <si>
    <t>80012-11</t>
  </si>
  <si>
    <t>80012-12</t>
  </si>
  <si>
    <t>Total Appropriations and Overexpenditures</t>
  </si>
  <si>
    <t>Deduct Expenditures:</t>
  </si>
  <si>
    <t>Paid or Charged [Budget Statement Item (L)]</t>
  </si>
  <si>
    <t>Paid or Charged - Reserve for Uncollected Taxes</t>
  </si>
  <si>
    <t>Reserved</t>
  </si>
  <si>
    <t>Total Expenditures</t>
  </si>
  <si>
    <t>requirements of the State of New Jersey, Department of Community Affairs, Division of Local</t>
  </si>
  <si>
    <t>is not in substantial compliance with the</t>
  </si>
  <si>
    <t>be shown as Item 13 is 69.99% and not 70.00%, nor 69.999%.</t>
  </si>
  <si>
    <t># Note:</t>
  </si>
  <si>
    <t>and have applied certain agreed-upon procedures thereon as</t>
  </si>
  <si>
    <t>Financial Statement for the year ended</t>
  </si>
  <si>
    <t>municipality/county taken as a whole.</t>
  </si>
  <si>
    <t>which the Director should be informed:</t>
  </si>
  <si>
    <t>(UNAUDITED)</t>
  </si>
  <si>
    <t>POPULATION  LAST  CENSUS</t>
  </si>
  <si>
    <t>FIVE  DOLLARS  PER  DAY  PENALTY  IF  NOT  FILED  BY:</t>
  </si>
  <si>
    <t>ANNUAL FINANCIAL STATEMENT REQUIRED TO BE FILED UNDER NEW JERSEY STATUTES</t>
  </si>
  <si>
    <t>ANNOTATED 40A:5-12, AS AMENDED, COMBINED WITH INFORMATION REQUIRED PRIOR TO</t>
  </si>
  <si>
    <t>CERTIFICATION OF BUDGETS BY THE DIRECTOR OF THE DIVISION OF LOCAL GOVERNMENT</t>
  </si>
  <si>
    <t>SERVICES.</t>
  </si>
  <si>
    <t>, County of</t>
  </si>
  <si>
    <t>SEE  BACK  COVER  FOR  INDEX  AND  INSTRUCTIONS.</t>
  </si>
  <si>
    <t>DO  NOT  USE  THESE  SPACES</t>
  </si>
  <si>
    <t>1</t>
  </si>
  <si>
    <t>2</t>
  </si>
  <si>
    <t>Examined By:</t>
  </si>
  <si>
    <t>Preliminary Check</t>
  </si>
  <si>
    <t>Examined</t>
  </si>
  <si>
    <t>Signature</t>
  </si>
  <si>
    <t>(This MUST be signed by Chief Financial Officer, Comptroller, Auditor or Registered Municipal Accountant.)</t>
  </si>
  <si>
    <r>
      <t xml:space="preserve">REQUIRED  </t>
    </r>
    <r>
      <rPr>
        <b/>
        <u/>
        <sz val="11"/>
        <rFont val="Arial"/>
        <family val="2"/>
      </rPr>
      <t>CERTIFICATION</t>
    </r>
    <r>
      <rPr>
        <b/>
        <sz val="11"/>
        <rFont val="Arial"/>
        <family val="2"/>
      </rPr>
      <t xml:space="preserve">  BY  THE  CHIEF  FINANCIAL  OFFICER:</t>
    </r>
  </si>
  <si>
    <t>Officer, License #</t>
  </si>
  <si>
    <t>Less:</t>
  </si>
  <si>
    <t>Deferred Charges Included in</t>
  </si>
  <si>
    <t>Above "Total Expenditures"</t>
  </si>
  <si>
    <t>Total Expenditures - As Adjusted</t>
  </si>
  <si>
    <t>Excess</t>
  </si>
  <si>
    <t>Budget Appropriation - Surplus (General Budget)**</t>
  </si>
  <si>
    <t>Remainder =</t>
  </si>
  <si>
    <t>Deficit</t>
  </si>
  <si>
    <t>Anticipated Revenue - Deficit (General Budget)**</t>
  </si>
  <si>
    <t>SECTION 2:</t>
  </si>
  <si>
    <t>* Excess (Revenue Realized)</t>
  </si>
  <si>
    <r>
      <t xml:space="preserve">above criteria </t>
    </r>
    <r>
      <rPr>
        <sz val="10"/>
        <rFont val="Arial"/>
        <family val="2"/>
      </rPr>
      <t xml:space="preserve"> in determining its qualification for local examination of its Budget in accordance </t>
    </r>
  </si>
  <si>
    <t>with  N.J.A. C. 5:30-7.5.</t>
  </si>
  <si>
    <t>(1) These amounts will always be the same.</t>
  </si>
  <si>
    <t>Sheet  26</t>
  </si>
  <si>
    <t>Federal programs</t>
  </si>
  <si>
    <t>Other Federal</t>
  </si>
  <si>
    <t>Programs</t>
  </si>
  <si>
    <t>the state)</t>
  </si>
  <si>
    <t>Federal pass-through funds can be identified by the Catalog of Federal Domestic Assistance</t>
  </si>
  <si>
    <t>(CFDA) number reported in the State's grant/contract agreements.</t>
  </si>
  <si>
    <t>MUNICIPAL  OPEN  SPACE  TAX</t>
  </si>
  <si>
    <t>85045-00</t>
  </si>
  <si>
    <t>Interest Earned</t>
  </si>
  <si>
    <t>85046-00</t>
  </si>
  <si>
    <t>Municipal Open Space Tax</t>
  </si>
  <si>
    <t>80120-00</t>
  </si>
  <si>
    <r>
      <t>FOOTNOTES</t>
    </r>
    <r>
      <rPr>
        <sz val="8"/>
        <rFont val="Arial"/>
        <family val="2"/>
      </rPr>
      <t xml:space="preserve"> - RE: OVEREXPENDITURES</t>
    </r>
  </si>
  <si>
    <t>RE: UNEXPENDED BALANCES CANCELED</t>
  </si>
  <si>
    <t>(1) MAY BE ALLOWED UNDER CERTAIN CONDITIONS.</t>
  </si>
  <si>
    <t>Amount of Levy Special District Taxes</t>
  </si>
  <si>
    <t>Unexpended Balances Canceled (see footnote)</t>
  </si>
  <si>
    <t>Total General Appropriations (Budget Statement Item 9)</t>
  </si>
  <si>
    <t>Add: Overexpenditures (see footnote)</t>
  </si>
  <si>
    <t>SCHEDULE  OF  EMERGENCY  APPROPRIATIONS  FOR  LOCAL</t>
  </si>
  <si>
    <t>Taxes Receivable</t>
  </si>
  <si>
    <t>Tax Title Liens</t>
  </si>
  <si>
    <t>Signature of Chief Financial Officer</t>
  </si>
  <si>
    <t>TOTAL</t>
  </si>
  <si>
    <t>Single Audit</t>
  </si>
  <si>
    <t>Program Specific Audit</t>
  </si>
  <si>
    <t>Financial Statement Audit Performed in Accordance</t>
  </si>
  <si>
    <t>With Government Auditing Standards (Yellow Book)</t>
  </si>
  <si>
    <t>DEFERRED CHARGES:</t>
  </si>
  <si>
    <t>SPECIAL EMERGENCY (40A:4-55)</t>
  </si>
  <si>
    <t>page totals</t>
  </si>
  <si>
    <t>APPROPRIATION RESERVES</t>
  </si>
  <si>
    <t>ENCUMBRANCES PAYABLE</t>
  </si>
  <si>
    <t>"C"</t>
  </si>
  <si>
    <t>RESERVE FOR RECEIVABLES</t>
  </si>
  <si>
    <t>FUND BALANCE</t>
  </si>
  <si>
    <t>TOTALS</t>
  </si>
  <si>
    <t>FUNDED</t>
  </si>
  <si>
    <t>UNFUNDED</t>
  </si>
  <si>
    <t>DEFERRED CHARGES TO FUTURE TAXATION:</t>
  </si>
  <si>
    <t>IMPROVEMENT AUTHORIZATIONS:</t>
  </si>
  <si>
    <t>CAPITAL IMPROVEMENT FUND</t>
  </si>
  <si>
    <t>Added by N.J.S.  40A:4-87 (List on 17a)</t>
  </si>
  <si>
    <t>Total Miscellaneous Revenue Anticipated</t>
  </si>
  <si>
    <t>80103-</t>
  </si>
  <si>
    <t>80104-</t>
  </si>
  <si>
    <t>80105-</t>
  </si>
  <si>
    <t>80106-</t>
  </si>
  <si>
    <t>80107-</t>
  </si>
  <si>
    <t>Receipts from Delinquent Taxes</t>
  </si>
  <si>
    <t>Amount to be Raised by Taxation:</t>
  </si>
  <si>
    <t>(a)  Local Tax for Municipal Purposes</t>
  </si>
  <si>
    <t>(b)  Addition to Local District School Tax</t>
  </si>
  <si>
    <t>ALLOCATION  OF  CURRENT  TAX  COLLECTIONS</t>
  </si>
  <si>
    <t>Sheet  17</t>
  </si>
  <si>
    <t>80108-00</t>
  </si>
  <si>
    <t>80109-00</t>
  </si>
  <si>
    <t>80119-00</t>
  </si>
  <si>
    <t>80110-00</t>
  </si>
  <si>
    <t>80111-00</t>
  </si>
  <si>
    <t>80112-00</t>
  </si>
  <si>
    <t>80113-00</t>
  </si>
  <si>
    <t>80114-00</t>
  </si>
  <si>
    <t>80115-00</t>
  </si>
  <si>
    <t>80116-00</t>
  </si>
  <si>
    <t>80117-00</t>
  </si>
  <si>
    <t>80118-00</t>
  </si>
  <si>
    <t>Current Taxes Realized in Cash (Total of Item 10 or 14 on Sheet 22)</t>
  </si>
  <si>
    <t>Amount to be Raised by Taxation</t>
  </si>
  <si>
    <t>Local District School Tax</t>
  </si>
  <si>
    <t>Regional School Tax</t>
  </si>
  <si>
    <t>Regional High School Tax</t>
  </si>
  <si>
    <t>Special District Taxes</t>
  </si>
  <si>
    <t>Reserve for Uncollected Taxes</t>
  </si>
  <si>
    <t>Sheet  1a</t>
  </si>
  <si>
    <t xml:space="preserve">available to me by the </t>
  </si>
  <si>
    <r>
      <t xml:space="preserve">Total deferred charges </t>
    </r>
    <r>
      <rPr>
        <b/>
        <sz val="10"/>
        <rFont val="Arial"/>
        <family val="2"/>
      </rPr>
      <t>did not equal or exceed 4%</t>
    </r>
    <r>
      <rPr>
        <sz val="10"/>
        <rFont val="Arial"/>
        <family val="2"/>
      </rPr>
      <t xml:space="preserve"> of the total tax levy;</t>
    </r>
  </si>
  <si>
    <t>accountant on Sheet 1a of the Annual Financial Statement; and</t>
  </si>
  <si>
    <t>CERTIFICATION  OF  NON-QUALIFYING  MUNICIPALITY</t>
  </si>
  <si>
    <t>POST  CLOSING  TRIAL  BALANCE  -</t>
  </si>
  <si>
    <t xml:space="preserve">UTILITY  ASSESSMENT  TRUST  FUNDS </t>
  </si>
  <si>
    <t>IF  MORE  THAN  ONE  UTILITY</t>
  </si>
  <si>
    <t>Remitted, Abated or Canceled</t>
  </si>
  <si>
    <t>Discount Allowed</t>
  </si>
  <si>
    <t>82121-00</t>
  </si>
  <si>
    <t>82122-00</t>
  </si>
  <si>
    <t>Sheet  17a</t>
  </si>
  <si>
    <t>80012-01</t>
  </si>
  <si>
    <t>80012-02</t>
  </si>
  <si>
    <t>EACH  ASSESSMENT  SECTION  MUST  BE  SEPARATELY  STATED</t>
  </si>
  <si>
    <t>PLEDGED  TO  LIABILITIES  AND  SURPLUS</t>
  </si>
  <si>
    <t>BUDGET  REVENUES</t>
  </si>
  <si>
    <t>Registered Municipal Accountant</t>
  </si>
  <si>
    <t>Federal ID #</t>
  </si>
  <si>
    <t>Year Ending</t>
  </si>
  <si>
    <t>INSTRUCTIONS  IN  PREPARATION  OF</t>
  </si>
  <si>
    <t>on a full cash basis. Any variations from a full cash basis must be taken up with the Division in advance of the preparation</t>
  </si>
  <si>
    <t>of the statement and the budget.</t>
  </si>
  <si>
    <t>Summary statements only of debt service are required. The use of summarized forms is permitted to conserve time.</t>
  </si>
  <si>
    <t>Responsibility for the supporting detail is placed on the Chief Financial Officer who must be in a position to support the</t>
  </si>
  <si>
    <t>summarized figures.</t>
  </si>
  <si>
    <t>Consent of Director of Local Government Services</t>
  </si>
  <si>
    <t>80014-04</t>
  </si>
  <si>
    <t>80014-01</t>
  </si>
  <si>
    <t>80014-02</t>
  </si>
  <si>
    <t>80014-03</t>
  </si>
  <si>
    <t>80014-05</t>
  </si>
  <si>
    <t>(FROM  CURRENT  FUND  -  TRIAL  BALANCE)</t>
  </si>
  <si>
    <t>80014-06</t>
  </si>
  <si>
    <t>80014-07</t>
  </si>
  <si>
    <t>80014-08</t>
  </si>
  <si>
    <t>80014-09</t>
  </si>
  <si>
    <t>80014-10</t>
  </si>
  <si>
    <t>80014-16</t>
  </si>
  <si>
    <t>80014-12</t>
  </si>
  <si>
    <t>80014-13</t>
  </si>
  <si>
    <t>are in proof; I further certify that this statement is correct insofar as I can determine from all the books and records</t>
  </si>
  <si>
    <t>C.</t>
  </si>
  <si>
    <t>D.</t>
  </si>
  <si>
    <t>E.</t>
  </si>
  <si>
    <t>84101-00</t>
  </si>
  <si>
    <t>84103-00</t>
  </si>
  <si>
    <t>84104-00</t>
  </si>
  <si>
    <t>5A.</t>
  </si>
  <si>
    <t>5B.</t>
  </si>
  <si>
    <t>84102-00</t>
  </si>
  <si>
    <t>84105-00</t>
  </si>
  <si>
    <t>Adjustment to Assessed Valuation</t>
  </si>
  <si>
    <t>84106-00</t>
  </si>
  <si>
    <t>84107-00</t>
  </si>
  <si>
    <t>Sales</t>
  </si>
  <si>
    <t>Cash *</t>
  </si>
  <si>
    <t>Contract</t>
  </si>
  <si>
    <t>Mortgage</t>
  </si>
  <si>
    <t>84109-00</t>
  </si>
  <si>
    <t>84110-00</t>
  </si>
  <si>
    <t>84111-00</t>
  </si>
  <si>
    <t>84112-00</t>
  </si>
  <si>
    <t>84113-00</t>
  </si>
  <si>
    <t>84114-00</t>
  </si>
  <si>
    <t>SCHEDULE  OF  FORECLOSED  PROPERTY</t>
  </si>
  <si>
    <t>(PROPERTY  ACQUIRED  BY  TAX  TITLE  LIEN  LIQUIDATION)</t>
  </si>
  <si>
    <t>CONTRACT  SALES</t>
  </si>
  <si>
    <t>18.</t>
  </si>
  <si>
    <t>19.</t>
  </si>
  <si>
    <t>Collected*</t>
  </si>
  <si>
    <t>84115-00</t>
  </si>
  <si>
    <t>84116-00</t>
  </si>
  <si>
    <t>84117-00</t>
  </si>
  <si>
    <t>84118-00</t>
  </si>
  <si>
    <t>84119-00</t>
  </si>
  <si>
    <t>MORTGAGE  SALES</t>
  </si>
  <si>
    <t>20.</t>
  </si>
  <si>
    <t>21.</t>
  </si>
  <si>
    <t>22.</t>
  </si>
  <si>
    <t>23.</t>
  </si>
  <si>
    <t>24.</t>
  </si>
  <si>
    <t>84120-00</t>
  </si>
  <si>
    <t>84121-00</t>
  </si>
  <si>
    <t>84122-00</t>
  </si>
  <si>
    <t>84123-00</t>
  </si>
  <si>
    <t>84124-00</t>
  </si>
  <si>
    <t>Analysis of Sale of Property:</t>
  </si>
  <si>
    <t>(84125-00)</t>
  </si>
  <si>
    <t>To Results of Operation (Sheet 19)</t>
  </si>
  <si>
    <t>DEFERRED  CHARGES</t>
  </si>
  <si>
    <t>Emergency Authorization -</t>
  </si>
  <si>
    <t>Municipal*</t>
  </si>
  <si>
    <t>Schools</t>
  </si>
  <si>
    <t>*Do not include items funded or refunded as listed below.</t>
  </si>
  <si>
    <t>* IN THE CASE OF A "DEFICIT IN CASH SURPLUS", "OTHER ASSETS"</t>
  </si>
  <si>
    <t>WOULD ALSO BE PLEDGED TO CASH LIABILITIES.</t>
  </si>
  <si>
    <t>NOTE: Deferred charges for authorizations under  N.J.S. 40A:4-55 (Tax Map, etc.), N.J.S. 40A:4-55 (Flood Damage, etc.), N.J.S.</t>
  </si>
  <si>
    <t>40A:4-55.1 (Roads and Bridges, etc.) and N.J.S. 40A:4-55.13 (Public Exigencies, etc.) to the extent of emergency notes issued</t>
  </si>
  <si>
    <t>Budget Year</t>
  </si>
  <si>
    <t>AFS Year</t>
  </si>
  <si>
    <t>PY</t>
  </si>
  <si>
    <t>Muni Code</t>
  </si>
  <si>
    <t>DATES</t>
  </si>
  <si>
    <t>Year End</t>
  </si>
  <si>
    <t>:</t>
  </si>
  <si>
    <t>Type of Audit required by Title 2 U.S. Code of Federal Regulations</t>
  </si>
  <si>
    <t>(CFR) (Uniform Requirements) and OMB 15-08.</t>
  </si>
  <si>
    <t>All local governments, who are recipients of federal and state awards (financial assistance), must</t>
  </si>
  <si>
    <t>report the total amount of federal and state funds expended during its fiscal year and the type of audit</t>
  </si>
  <si>
    <t>required to comply with Title 2 U.S. Code of Federal Regulations(CFR) OMB 15-08.  (Uniform</t>
  </si>
  <si>
    <t>Guidance) and OMB 15-08. The single audit threshold has been been increased to $750,000</t>
  </si>
  <si>
    <t>beginning with Fiscal Year ending after 1/1/15. Expenditures are defined in Title 2 U.S. Code of</t>
  </si>
  <si>
    <t>Federal Regulations (CFR) (Uniform Guidance).</t>
  </si>
  <si>
    <t>DUE FROM CURRENT FUND</t>
  </si>
  <si>
    <t>Homestead Benefit Credit</t>
  </si>
  <si>
    <t>DEFICIT</t>
  </si>
  <si>
    <t>I hereby certify that the debt shown on Sheets 31 to 34, 49 to 51 and 63 to 65a are</t>
  </si>
  <si>
    <t>complete, were computed by me and can be supported upon demand by a register or</t>
  </si>
  <si>
    <t>other detailed analysis.</t>
  </si>
  <si>
    <t>Certificate #</t>
  </si>
  <si>
    <t>Name and County of Municipality</t>
  </si>
  <si>
    <t>Balance - December 31, 2019</t>
  </si>
  <si>
    <t>Balance - January 1, 2019</t>
  </si>
  <si>
    <t>Outstanding - January 1, 2019</t>
  </si>
  <si>
    <t>Outstanding - December 31, 2019</t>
  </si>
  <si>
    <t>Annual Financial Statement - Key Inputs</t>
  </si>
  <si>
    <t>1330</t>
  </si>
  <si>
    <t>Aberdeen Township</t>
  </si>
  <si>
    <t>Monmouth</t>
  </si>
  <si>
    <t>Aberdeen Township, Monmouth County</t>
  </si>
  <si>
    <t>0101</t>
  </si>
  <si>
    <t>Absecon City</t>
  </si>
  <si>
    <t>Atlantic</t>
  </si>
  <si>
    <t>Absecon City, Atlantic County</t>
  </si>
  <si>
    <t>0201</t>
  </si>
  <si>
    <t>Allendale Borough</t>
  </si>
  <si>
    <t>Bergen</t>
  </si>
  <si>
    <t>Allendale Borough, Bergen County</t>
  </si>
  <si>
    <t>1301</t>
  </si>
  <si>
    <t>Allenhurst Borough</t>
  </si>
  <si>
    <t>Allenhurst Borough, Monmouth County</t>
  </si>
  <si>
    <t>1302</t>
  </si>
  <si>
    <t>Allentown Borough</t>
  </si>
  <si>
    <t>Allentown Borough, Monmouth County</t>
  </si>
  <si>
    <t>1701</t>
  </si>
  <si>
    <t>Alloway Township</t>
  </si>
  <si>
    <t>Salem</t>
  </si>
  <si>
    <t>Alloway Township, Salem County</t>
  </si>
  <si>
    <t>2102</t>
  </si>
  <si>
    <t>Alpha Borough</t>
  </si>
  <si>
    <t>Warren</t>
  </si>
  <si>
    <t>Alpha Borough, Warren County</t>
  </si>
  <si>
    <t>0202</t>
  </si>
  <si>
    <t>Alpine Borough</t>
  </si>
  <si>
    <t>Alpine Borough, Bergen County</t>
  </si>
  <si>
    <t>1901</t>
  </si>
  <si>
    <t>Andover Borough</t>
  </si>
  <si>
    <t>Sussex</t>
  </si>
  <si>
    <t>Andover Borough, Sussex County</t>
  </si>
  <si>
    <t>1902</t>
  </si>
  <si>
    <t>Andover Township</t>
  </si>
  <si>
    <t>Andover Township, Sussex County</t>
  </si>
  <si>
    <t>1303</t>
  </si>
  <si>
    <t>Asbury Park City</t>
  </si>
  <si>
    <t>Asbury Park City, Monmouth County</t>
  </si>
  <si>
    <t>0102</t>
  </si>
  <si>
    <t>Atlantic City City</t>
  </si>
  <si>
    <t>Atlantic City City, Atlantic County</t>
  </si>
  <si>
    <t>1304</t>
  </si>
  <si>
    <t>Atlantic Highlands Borough</t>
  </si>
  <si>
    <t>Atlantic Highlands Borough, Monmouth County</t>
  </si>
  <si>
    <t>0401</t>
  </si>
  <si>
    <t>Audubon Borough</t>
  </si>
  <si>
    <t>Camden</t>
  </si>
  <si>
    <t>Audubon Borough, Camden County</t>
  </si>
  <si>
    <t>0402</t>
  </si>
  <si>
    <t>Audubon Park Borough</t>
  </si>
  <si>
    <t>Audubon Park Borough, Camden County</t>
  </si>
  <si>
    <t>0501</t>
  </si>
  <si>
    <t>Avalon Borough</t>
  </si>
  <si>
    <t>Cape May</t>
  </si>
  <si>
    <t>Avalon Borough, Cape May County</t>
  </si>
  <si>
    <t>1305</t>
  </si>
  <si>
    <t>Avon-by-the-Sea Borough</t>
  </si>
  <si>
    <t>Avon-by-the-Sea Borough, Monmouth County</t>
  </si>
  <si>
    <t>1501</t>
  </si>
  <si>
    <t>Barnegat Light Borough</t>
  </si>
  <si>
    <t>Ocean</t>
  </si>
  <si>
    <t>Barnegat Light Borough, Ocean County</t>
  </si>
  <si>
    <t>1533</t>
  </si>
  <si>
    <t>Barnegat Township</t>
  </si>
  <si>
    <t>Barnegat Township, Ocean County</t>
  </si>
  <si>
    <t>0403</t>
  </si>
  <si>
    <t>Barrington Borough</t>
  </si>
  <si>
    <t>Barrington Borough, Camden County</t>
  </si>
  <si>
    <t>0301</t>
  </si>
  <si>
    <t>Bass River Township</t>
  </si>
  <si>
    <t>Burlington</t>
  </si>
  <si>
    <t>Bass River Township, Burlington County</t>
  </si>
  <si>
    <t>1502</t>
  </si>
  <si>
    <t>Bay Head Borough</t>
  </si>
  <si>
    <t>Bay Head Borough, Ocean County</t>
  </si>
  <si>
    <t>0901</t>
  </si>
  <si>
    <t>Bayonne City</t>
  </si>
  <si>
    <t>Hudson</t>
  </si>
  <si>
    <t>Bayonne City, Hudson County</t>
  </si>
  <si>
    <t>1503</t>
  </si>
  <si>
    <t>Beach Haven Borough</t>
  </si>
  <si>
    <t>Beach Haven Borough, Ocean County</t>
  </si>
  <si>
    <t>1504</t>
  </si>
  <si>
    <t>Beachwood Borough</t>
  </si>
  <si>
    <t>Beachwood Borough, Ocean County</t>
  </si>
  <si>
    <t>1801</t>
  </si>
  <si>
    <t>Bedminster Township</t>
  </si>
  <si>
    <t>Somerset</t>
  </si>
  <si>
    <t>Bedminster Township, Somerset County</t>
  </si>
  <si>
    <t>0701</t>
  </si>
  <si>
    <t>Belleville Township</t>
  </si>
  <si>
    <t>Essex</t>
  </si>
  <si>
    <t>Belleville Township, Essex County</t>
  </si>
  <si>
    <t>0404</t>
  </si>
  <si>
    <t>Bellmawr Borough</t>
  </si>
  <si>
    <t>Bellmawr Borough, Camden County</t>
  </si>
  <si>
    <t>1306</t>
  </si>
  <si>
    <t>Belmar Borough</t>
  </si>
  <si>
    <t>Belmar Borough, Monmouth County</t>
  </si>
  <si>
    <t>2103</t>
  </si>
  <si>
    <t>Belvidere Town</t>
  </si>
  <si>
    <t>Belvidere Town, Warren County</t>
  </si>
  <si>
    <t>0203</t>
  </si>
  <si>
    <t>Bergenfield Borough</t>
  </si>
  <si>
    <t>Bergenfield Borough, Bergen County</t>
  </si>
  <si>
    <t>2001</t>
  </si>
  <si>
    <t>Berkeley Heights Township</t>
  </si>
  <si>
    <t>Union</t>
  </si>
  <si>
    <t>Berkeley Heights Township, Union County</t>
  </si>
  <si>
    <t>1505</t>
  </si>
  <si>
    <t>Berkeley Township</t>
  </si>
  <si>
    <t>Berkeley Township, Ocean County</t>
  </si>
  <si>
    <t>0405</t>
  </si>
  <si>
    <t>Berlin Borough</t>
  </si>
  <si>
    <t>Berlin Borough, Camden County</t>
  </si>
  <si>
    <t>0406</t>
  </si>
  <si>
    <t>Berlin Township</t>
  </si>
  <si>
    <t>Berlin Township, Camden County</t>
  </si>
  <si>
    <t>1802</t>
  </si>
  <si>
    <t>Bernards Township</t>
  </si>
  <si>
    <t>Bernards Township, Somerset County</t>
  </si>
  <si>
    <t>1803</t>
  </si>
  <si>
    <t>Bernardsville Borough</t>
  </si>
  <si>
    <t>Bernardsville Borough, Somerset County</t>
  </si>
  <si>
    <t>1002</t>
  </si>
  <si>
    <t>Bethlehem Township</t>
  </si>
  <si>
    <t>Hunterdon</t>
  </si>
  <si>
    <t>Bethlehem Township, Hunterdon County</t>
  </si>
  <si>
    <t>0302</t>
  </si>
  <si>
    <t>Beverly City</t>
  </si>
  <si>
    <t>Beverly City, Burlington County</t>
  </si>
  <si>
    <t>2104</t>
  </si>
  <si>
    <t>Blairstown Township</t>
  </si>
  <si>
    <t>Blairstown Township, Warren County</t>
  </si>
  <si>
    <t>0702</t>
  </si>
  <si>
    <t>Bloomfield Township</t>
  </si>
  <si>
    <t>Bloomfield Township, Essex County</t>
  </si>
  <si>
    <t>1601</t>
  </si>
  <si>
    <t>Bloomingdale Borough</t>
  </si>
  <si>
    <t>Passaic</t>
  </si>
  <si>
    <t>Bloomingdale Borough, Passaic County</t>
  </si>
  <si>
    <t>1003</t>
  </si>
  <si>
    <t>Bloomsbury Borough</t>
  </si>
  <si>
    <t>Bloomsbury Borough, Hunterdon County</t>
  </si>
  <si>
    <t>0204</t>
  </si>
  <si>
    <t>Bogota Borough</t>
  </si>
  <si>
    <t>Bogota Borough, Bergen County</t>
  </si>
  <si>
    <t>1401</t>
  </si>
  <si>
    <t>Boonton Town</t>
  </si>
  <si>
    <t>Morris</t>
  </si>
  <si>
    <t>Boonton Town, Morris County</t>
  </si>
  <si>
    <t>1402</t>
  </si>
  <si>
    <t>Boonton Township</t>
  </si>
  <si>
    <t>Boonton Township, Morris County</t>
  </si>
  <si>
    <t>0303</t>
  </si>
  <si>
    <t>Bordentown City</t>
  </si>
  <si>
    <t>Bordentown City, Burlington County</t>
  </si>
  <si>
    <t>0304</t>
  </si>
  <si>
    <t>Bordentown Township</t>
  </si>
  <si>
    <t>Bordentown Township, Burlington County</t>
  </si>
  <si>
    <t>1804</t>
  </si>
  <si>
    <t>Bound Brook Borough</t>
  </si>
  <si>
    <t>Bound Brook Borough, Somerset County</t>
  </si>
  <si>
    <t>1307</t>
  </si>
  <si>
    <t>Bradley Beach Borough</t>
  </si>
  <si>
    <t>Bradley Beach Borough, Monmouth County</t>
  </si>
  <si>
    <t>1805</t>
  </si>
  <si>
    <t>Branchburg Township</t>
  </si>
  <si>
    <t>Branchburg Township, Somerset County</t>
  </si>
  <si>
    <t>1903</t>
  </si>
  <si>
    <t>Branchville Borough</t>
  </si>
  <si>
    <t>Branchville Borough, Sussex County</t>
  </si>
  <si>
    <t>1506</t>
  </si>
  <si>
    <t>Brick Township</t>
  </si>
  <si>
    <t>Brick Township, Ocean County</t>
  </si>
  <si>
    <t>0601</t>
  </si>
  <si>
    <t>Bridgeton City</t>
  </si>
  <si>
    <t>Cumberland</t>
  </si>
  <si>
    <t>Bridgeton City, Cumberland County</t>
  </si>
  <si>
    <t>1806</t>
  </si>
  <si>
    <t>Bridgewater Township</t>
  </si>
  <si>
    <t>Bridgewater Township, Somerset County</t>
  </si>
  <si>
    <t>1308</t>
  </si>
  <si>
    <t>Brielle Borough</t>
  </si>
  <si>
    <t>Brielle Borough, Monmouth County</t>
  </si>
  <si>
    <t>0103</t>
  </si>
  <si>
    <t>Brigantine City</t>
  </si>
  <si>
    <t>Brigantine City, Atlantic County</t>
  </si>
  <si>
    <t>0407</t>
  </si>
  <si>
    <t>Brooklawn Borough</t>
  </si>
  <si>
    <t>Brooklawn Borough, Camden County</t>
  </si>
  <si>
    <t>0104</t>
  </si>
  <si>
    <t>Buena Borough</t>
  </si>
  <si>
    <t>Buena Borough, Atlantic County</t>
  </si>
  <si>
    <t>0105</t>
  </si>
  <si>
    <t>Buena Vista Township</t>
  </si>
  <si>
    <t>Buena Vista Township, Atlantic County</t>
  </si>
  <si>
    <t>0305</t>
  </si>
  <si>
    <t>Burlington City</t>
  </si>
  <si>
    <t>Burlington City, Burlington County</t>
  </si>
  <si>
    <t>0306</t>
  </si>
  <si>
    <t>Burlington Township</t>
  </si>
  <si>
    <t>Burlington Township, Burlington County</t>
  </si>
  <si>
    <t>1403</t>
  </si>
  <si>
    <t>Butler Borough</t>
  </si>
  <si>
    <t>Butler Borough, Morris County</t>
  </si>
  <si>
    <t>1904</t>
  </si>
  <si>
    <t>Byram Township</t>
  </si>
  <si>
    <t>Byram Township, Sussex County</t>
  </si>
  <si>
    <t>0703</t>
  </si>
  <si>
    <t>Caldwell Township</t>
  </si>
  <si>
    <t>Caldwell Township, Essex County</t>
  </si>
  <si>
    <t>1004</t>
  </si>
  <si>
    <t>Califon Borough</t>
  </si>
  <si>
    <t>Califon Borough, Hunterdon County</t>
  </si>
  <si>
    <t>0408</t>
  </si>
  <si>
    <t>Camden City</t>
  </si>
  <si>
    <t>Camden City, Camden County</t>
  </si>
  <si>
    <t>0502</t>
  </si>
  <si>
    <t>Cape May City</t>
  </si>
  <si>
    <t>Cape May City, Cape May County</t>
  </si>
  <si>
    <t>0503</t>
  </si>
  <si>
    <t>Cape May Point Borough</t>
  </si>
  <si>
    <t>Cape May Point Borough, Cape May County</t>
  </si>
  <si>
    <t>0205</t>
  </si>
  <si>
    <t>Carlstadt Borough</t>
  </si>
  <si>
    <t>Carlstadt Borough, Bergen County</t>
  </si>
  <si>
    <t>1713</t>
  </si>
  <si>
    <t>Carneys Point Township</t>
  </si>
  <si>
    <t>Carneys Point Township, Salem County</t>
  </si>
  <si>
    <t>1201</t>
  </si>
  <si>
    <t>Carteret Borough</t>
  </si>
  <si>
    <t>Middlesex</t>
  </si>
  <si>
    <t>Carteret Borough, Middlesex County</t>
  </si>
  <si>
    <t>0704</t>
  </si>
  <si>
    <t>Cedar Grove Township</t>
  </si>
  <si>
    <t>Cedar Grove Township, Essex County</t>
  </si>
  <si>
    <t>1404</t>
  </si>
  <si>
    <t>Chatham Borough</t>
  </si>
  <si>
    <t>Chatham Borough, Morris County</t>
  </si>
  <si>
    <t>1405</t>
  </si>
  <si>
    <t>Chatham Township</t>
  </si>
  <si>
    <t>Chatham Township, Morris County</t>
  </si>
  <si>
    <t>0409</t>
  </si>
  <si>
    <t>Cherry Hill Township</t>
  </si>
  <si>
    <t>Cherry Hill Township, Camden County</t>
  </si>
  <si>
    <t>0410</t>
  </si>
  <si>
    <t>Chesilhurst Borough</t>
  </si>
  <si>
    <t>Chesilhurst Borough, Camden County</t>
  </si>
  <si>
    <t>1406</t>
  </si>
  <si>
    <t>Chester Borough</t>
  </si>
  <si>
    <t>Chester Borough, Morris County</t>
  </si>
  <si>
    <t>1407</t>
  </si>
  <si>
    <t>Chester Township</t>
  </si>
  <si>
    <t>Chester Township, Morris County</t>
  </si>
  <si>
    <t>0307</t>
  </si>
  <si>
    <t>Chesterfield Township</t>
  </si>
  <si>
    <t>Chesterfield Township, Burlington County</t>
  </si>
  <si>
    <t>0308</t>
  </si>
  <si>
    <t>Cinnaminson Township</t>
  </si>
  <si>
    <t>Cinnaminson Township, Burlington County</t>
  </si>
  <si>
    <t>2002</t>
  </si>
  <si>
    <t>Clark Township</t>
  </si>
  <si>
    <t>Clark Township, Union County</t>
  </si>
  <si>
    <t>0801</t>
  </si>
  <si>
    <t>Clayton Borough</t>
  </si>
  <si>
    <t>Gloucester</t>
  </si>
  <si>
    <t>Clayton Borough, Gloucester County</t>
  </si>
  <si>
    <t>0411</t>
  </si>
  <si>
    <t>Clementon Borough</t>
  </si>
  <si>
    <t>Clementon Borough, Camden County</t>
  </si>
  <si>
    <t>0206</t>
  </si>
  <si>
    <t>Cliffside Park Borough</t>
  </si>
  <si>
    <t>Cliffside Park Borough, Bergen County</t>
  </si>
  <si>
    <t>1602</t>
  </si>
  <si>
    <t>Clifton City</t>
  </si>
  <si>
    <t>Clifton City, Passaic County</t>
  </si>
  <si>
    <t>1005</t>
  </si>
  <si>
    <t>Clinton Town</t>
  </si>
  <si>
    <t>Clinton Town, Hunterdon County</t>
  </si>
  <si>
    <t>1006</t>
  </si>
  <si>
    <t>Clinton Township</t>
  </si>
  <si>
    <t>Clinton Township, Hunterdon County</t>
  </si>
  <si>
    <t>0207</t>
  </si>
  <si>
    <t>Closter Borough</t>
  </si>
  <si>
    <t>Closter Borough, Bergen County</t>
  </si>
  <si>
    <t>0412</t>
  </si>
  <si>
    <t>Collingswood Borough</t>
  </si>
  <si>
    <t>Collingswood Borough, Camden County</t>
  </si>
  <si>
    <t>1309</t>
  </si>
  <si>
    <t>Colts Neck Township</t>
  </si>
  <si>
    <t>Colts Neck Township, Monmouth County</t>
  </si>
  <si>
    <t>0602</t>
  </si>
  <si>
    <t>Commercial Township</t>
  </si>
  <si>
    <t>Commercial Township, Cumberland County</t>
  </si>
  <si>
    <t>0106</t>
  </si>
  <si>
    <t>Corbin City</t>
  </si>
  <si>
    <t>Corbin City, Atlantic County</t>
  </si>
  <si>
    <t>1202</t>
  </si>
  <si>
    <t>Cranbury Township</t>
  </si>
  <si>
    <t>Cranbury Township, Middlesex County</t>
  </si>
  <si>
    <t>2003</t>
  </si>
  <si>
    <t>Cranford Township</t>
  </si>
  <si>
    <t>Cranford Township, Union County</t>
  </si>
  <si>
    <t>0208</t>
  </si>
  <si>
    <t>Cresskill Borough</t>
  </si>
  <si>
    <t>Cresskill Borough, Bergen County</t>
  </si>
  <si>
    <t>1310</t>
  </si>
  <si>
    <t>Deal Borough</t>
  </si>
  <si>
    <t>Deal Borough, Monmouth County</t>
  </si>
  <si>
    <t>0603</t>
  </si>
  <si>
    <t>Deerfield Township</t>
  </si>
  <si>
    <t>Deerfield Township, Cumberland County</t>
  </si>
  <si>
    <t>0309</t>
  </si>
  <si>
    <t>Delanco Township</t>
  </si>
  <si>
    <t>Delanco Township, Burlington County</t>
  </si>
  <si>
    <t>1007</t>
  </si>
  <si>
    <t>Delaware Township</t>
  </si>
  <si>
    <t>Delaware Township, Hunterdon County</t>
  </si>
  <si>
    <t>0310</t>
  </si>
  <si>
    <t>Delran Township</t>
  </si>
  <si>
    <t>Delran Township, Burlington County</t>
  </si>
  <si>
    <t>0209</t>
  </si>
  <si>
    <t>Demarest Borough</t>
  </si>
  <si>
    <t>Demarest Borough, Bergen County</t>
  </si>
  <si>
    <t>0504</t>
  </si>
  <si>
    <t>Dennis Township</t>
  </si>
  <si>
    <t>Dennis Township, Cape May County</t>
  </si>
  <si>
    <t>1408</t>
  </si>
  <si>
    <t>Denville Township</t>
  </si>
  <si>
    <t>Denville Township, Morris County</t>
  </si>
  <si>
    <t>0802</t>
  </si>
  <si>
    <t>Deptford Township</t>
  </si>
  <si>
    <t>Deptford Township, Gloucester County</t>
  </si>
  <si>
    <t>1409</t>
  </si>
  <si>
    <t>Dover Town</t>
  </si>
  <si>
    <t>Dover Town, Morris County</t>
  </si>
  <si>
    <t>0604</t>
  </si>
  <si>
    <t>Downe Township</t>
  </si>
  <si>
    <t>Downe Township, Cumberland County</t>
  </si>
  <si>
    <t>0210</t>
  </si>
  <si>
    <t>Dumont Borough</t>
  </si>
  <si>
    <t>Dumont Borough, Bergen County</t>
  </si>
  <si>
    <t>1203</t>
  </si>
  <si>
    <t>Dunellen Borough</t>
  </si>
  <si>
    <t>Dunellen Borough, Middlesex County</t>
  </si>
  <si>
    <t>1508</t>
  </si>
  <si>
    <t>Eagleswood Township</t>
  </si>
  <si>
    <t>Eagleswood Township, Ocean County</t>
  </si>
  <si>
    <t>1008</t>
  </si>
  <si>
    <t>East Amwell Township</t>
  </si>
  <si>
    <t>East Amwell Township, Hunterdon County</t>
  </si>
  <si>
    <t>1204</t>
  </si>
  <si>
    <t>East Brunswick Township</t>
  </si>
  <si>
    <t>East Brunswick Township, Middlesex County</t>
  </si>
  <si>
    <t>0803</t>
  </si>
  <si>
    <t>East Greenwich Township</t>
  </si>
  <si>
    <t>East Greenwich Township, Gloucester County</t>
  </si>
  <si>
    <t>1410</t>
  </si>
  <si>
    <t>East Hanover Township</t>
  </si>
  <si>
    <t>East Hanover Township, Morris County</t>
  </si>
  <si>
    <t>0902</t>
  </si>
  <si>
    <t>East Newark Borough</t>
  </si>
  <si>
    <t>East Newark Borough, Hudson County</t>
  </si>
  <si>
    <t>0705</t>
  </si>
  <si>
    <t>East Orange City</t>
  </si>
  <si>
    <t>East Orange City, Essex County</t>
  </si>
  <si>
    <t>0212</t>
  </si>
  <si>
    <t>East Rutherford Borough</t>
  </si>
  <si>
    <t>East Rutherford Borough, Bergen County</t>
  </si>
  <si>
    <t>1101</t>
  </si>
  <si>
    <t>East Windsor Township</t>
  </si>
  <si>
    <t>Mercer</t>
  </si>
  <si>
    <t>East Windsor Township, Mercer County</t>
  </si>
  <si>
    <t>0311</t>
  </si>
  <si>
    <t>Eastampton Township</t>
  </si>
  <si>
    <t>Eastampton Township, Burlington County</t>
  </si>
  <si>
    <t>1311</t>
  </si>
  <si>
    <t>Eatontown Borough</t>
  </si>
  <si>
    <t>Eatontown Borough, Monmouth County</t>
  </si>
  <si>
    <t>0213</t>
  </si>
  <si>
    <t>Edgewater Borough</t>
  </si>
  <si>
    <t>Edgewater Borough, Bergen County</t>
  </si>
  <si>
    <t>0312</t>
  </si>
  <si>
    <t>Edgewater Park Township</t>
  </si>
  <si>
    <t>Edgewater Park Township, Burlington County</t>
  </si>
  <si>
    <t>1205</t>
  </si>
  <si>
    <t>Edison Township</t>
  </si>
  <si>
    <t>Edison Township, Middlesex County</t>
  </si>
  <si>
    <t>0107</t>
  </si>
  <si>
    <t>Egg Harbor City</t>
  </si>
  <si>
    <t>Egg Harbor City, Atlantic County</t>
  </si>
  <si>
    <t>0108</t>
  </si>
  <si>
    <t>Egg Harbor Township</t>
  </si>
  <si>
    <t>Egg Harbor Township, Atlantic County</t>
  </si>
  <si>
    <t>2004</t>
  </si>
  <si>
    <t>Elizabeth City</t>
  </si>
  <si>
    <t>Elizabeth City, Union County</t>
  </si>
  <si>
    <t>0804</t>
  </si>
  <si>
    <t>Elk Township</t>
  </si>
  <si>
    <t>Elk Township, Gloucester County</t>
  </si>
  <si>
    <t>1702</t>
  </si>
  <si>
    <t>Elmer Borough</t>
  </si>
  <si>
    <t>Elmer Borough, Salem County</t>
  </si>
  <si>
    <t>0211</t>
  </si>
  <si>
    <t>Elmwood Park Borough</t>
  </si>
  <si>
    <t>Elmwood Park Borough, Bergen County</t>
  </si>
  <si>
    <t>1703</t>
  </si>
  <si>
    <t>Elsinboro Township</t>
  </si>
  <si>
    <t>Elsinboro Township, Salem County</t>
  </si>
  <si>
    <t>0214</t>
  </si>
  <si>
    <t>Emerson Borough</t>
  </si>
  <si>
    <t>Emerson Borough, Bergen County</t>
  </si>
  <si>
    <t>0215</t>
  </si>
  <si>
    <t>Englewood City</t>
  </si>
  <si>
    <t>Englewood City, Bergen County</t>
  </si>
  <si>
    <t>0216</t>
  </si>
  <si>
    <t>Englewood Cliffs Borough</t>
  </si>
  <si>
    <t>Englewood Cliffs Borough, Bergen County</t>
  </si>
  <si>
    <t>1312</t>
  </si>
  <si>
    <t>Englishtown Borough</t>
  </si>
  <si>
    <t>Englishtown Borough, Monmouth County</t>
  </si>
  <si>
    <t>0706</t>
  </si>
  <si>
    <t>Essex Fells Township</t>
  </si>
  <si>
    <t>Essex Fells Township, Essex County</t>
  </si>
  <si>
    <t>0109</t>
  </si>
  <si>
    <t>Estell Manor City</t>
  </si>
  <si>
    <t>Estell Manor City, Atlantic County</t>
  </si>
  <si>
    <t>0313</t>
  </si>
  <si>
    <t>Evesham Township</t>
  </si>
  <si>
    <t>Evesham Township, Burlington County</t>
  </si>
  <si>
    <t>1102</t>
  </si>
  <si>
    <t>Ewing Township</t>
  </si>
  <si>
    <t>Ewing Township, Mercer County</t>
  </si>
  <si>
    <t>1313</t>
  </si>
  <si>
    <t>Fair Haven Borough</t>
  </si>
  <si>
    <t>Fair Haven Borough, Monmouth County</t>
  </si>
  <si>
    <t>0217</t>
  </si>
  <si>
    <t>Fair Lawn Borough</t>
  </si>
  <si>
    <t>Fair Lawn Borough, Bergen County</t>
  </si>
  <si>
    <t>0605</t>
  </si>
  <si>
    <t>Fairfield Township</t>
  </si>
  <si>
    <t>Fairfield Township, Cumberland County</t>
  </si>
  <si>
    <t>0707</t>
  </si>
  <si>
    <t>Fairfield Township, Essex County</t>
  </si>
  <si>
    <t>0218</t>
  </si>
  <si>
    <t>Fairview Borough</t>
  </si>
  <si>
    <t>Fairview Borough, Bergen County</t>
  </si>
  <si>
    <t>2005</t>
  </si>
  <si>
    <t>Fanwood Borough</t>
  </si>
  <si>
    <t>Fanwood Borough, Union County</t>
  </si>
  <si>
    <t>1807</t>
  </si>
  <si>
    <t>Far Hills Borough</t>
  </si>
  <si>
    <t>Far Hills Borough, Somerset County</t>
  </si>
  <si>
    <t>1314</t>
  </si>
  <si>
    <t>Farmingdale Borough</t>
  </si>
  <si>
    <t>Farmingdale Borough, Monmouth County</t>
  </si>
  <si>
    <t>0314</t>
  </si>
  <si>
    <t>Fieldsboro Borough</t>
  </si>
  <si>
    <t>Fieldsboro Borough, Burlington County</t>
  </si>
  <si>
    <t>1009</t>
  </si>
  <si>
    <t>Flemington Borough</t>
  </si>
  <si>
    <t>Flemington Borough, Hunterdon County</t>
  </si>
  <si>
    <t>0315</t>
  </si>
  <si>
    <t>Florence Township</t>
  </si>
  <si>
    <t>Florence Township, Burlington County</t>
  </si>
  <si>
    <t>1411</t>
  </si>
  <si>
    <t>Florham Park Borough</t>
  </si>
  <si>
    <t>Florham Park Borough, Morris County</t>
  </si>
  <si>
    <t>0110</t>
  </si>
  <si>
    <t>Folsom Borough</t>
  </si>
  <si>
    <t>Folsom Borough, Atlantic County</t>
  </si>
  <si>
    <t>0219</t>
  </si>
  <si>
    <t>Fort Lee Borough</t>
  </si>
  <si>
    <t>Fort Lee Borough, Bergen County</t>
  </si>
  <si>
    <t>1905</t>
  </si>
  <si>
    <t>Frankford Township</t>
  </si>
  <si>
    <t>Frankford Township, Sussex County</t>
  </si>
  <si>
    <t>1906</t>
  </si>
  <si>
    <t>Franklin Borough</t>
  </si>
  <si>
    <t>Franklin Borough, Sussex County</t>
  </si>
  <si>
    <t>0220</t>
  </si>
  <si>
    <t>Franklin Lakes Borough</t>
  </si>
  <si>
    <t>Franklin Lakes Borough, Bergen County</t>
  </si>
  <si>
    <t>0805</t>
  </si>
  <si>
    <t>Franklin Township</t>
  </si>
  <si>
    <t>Franklin Township, Gloucester County</t>
  </si>
  <si>
    <t>1010</t>
  </si>
  <si>
    <t>Franklin Township, Hunterdon County</t>
  </si>
  <si>
    <t>1808</t>
  </si>
  <si>
    <t>Franklin Township, Somerset County</t>
  </si>
  <si>
    <t>2105</t>
  </si>
  <si>
    <t>Franklin Township, Warren County</t>
  </si>
  <si>
    <t>1907</t>
  </si>
  <si>
    <t>Fredon Township</t>
  </si>
  <si>
    <t>Fredon Township, Sussex County</t>
  </si>
  <si>
    <t>1315</t>
  </si>
  <si>
    <t>Freehold Borough</t>
  </si>
  <si>
    <t>Freehold Borough, Monmouth County</t>
  </si>
  <si>
    <t>1316</t>
  </si>
  <si>
    <t>Freehold Township</t>
  </si>
  <si>
    <t>Freehold Township, Monmouth County</t>
  </si>
  <si>
    <t>2106</t>
  </si>
  <si>
    <t>Frelinghuysen Township</t>
  </si>
  <si>
    <t>Frelinghuysen Township, Warren County</t>
  </si>
  <si>
    <t>1011</t>
  </si>
  <si>
    <t>Frenchtown Borough</t>
  </si>
  <si>
    <t>Frenchtown Borough, Hunterdon County</t>
  </si>
  <si>
    <t>0111</t>
  </si>
  <si>
    <t>Galloway Township</t>
  </si>
  <si>
    <t>Galloway Township, Atlantic County</t>
  </si>
  <si>
    <t>0221</t>
  </si>
  <si>
    <t>Garfield City</t>
  </si>
  <si>
    <t>Garfield City, Bergen County</t>
  </si>
  <si>
    <t>2006</t>
  </si>
  <si>
    <t>Garwood Borough</t>
  </si>
  <si>
    <t>Garwood Borough, Union County</t>
  </si>
  <si>
    <t>0413</t>
  </si>
  <si>
    <t>Gibbsboro Borough</t>
  </si>
  <si>
    <t>Gibbsboro Borough, Camden County</t>
  </si>
  <si>
    <t>0806</t>
  </si>
  <si>
    <t>Glassboro Borough</t>
  </si>
  <si>
    <t>Glassboro Borough, Gloucester County</t>
  </si>
  <si>
    <t>1012</t>
  </si>
  <si>
    <t>Glen Gardner Borough</t>
  </si>
  <si>
    <t>Glen Gardner Borough, Hunterdon County</t>
  </si>
  <si>
    <t>0708</t>
  </si>
  <si>
    <t>Glen Ridge Borough</t>
  </si>
  <si>
    <t>Glen Ridge Borough, Essex County</t>
  </si>
  <si>
    <t>0222</t>
  </si>
  <si>
    <t>Glen Rock Borough</t>
  </si>
  <si>
    <t>Glen Rock Borough, Bergen County</t>
  </si>
  <si>
    <t>0414</t>
  </si>
  <si>
    <t>Gloucester City City</t>
  </si>
  <si>
    <t>Gloucester City City, Camden County</t>
  </si>
  <si>
    <t>0415</t>
  </si>
  <si>
    <t>Gloucester Township</t>
  </si>
  <si>
    <t>Gloucester Township, Camden County</t>
  </si>
  <si>
    <t>1809</t>
  </si>
  <si>
    <t>Green Brook Township</t>
  </si>
  <si>
    <t>Green Brook Township, Somerset County</t>
  </si>
  <si>
    <t>1908</t>
  </si>
  <si>
    <t>Green Township</t>
  </si>
  <si>
    <t>Green Township, Sussex County</t>
  </si>
  <si>
    <t>0606</t>
  </si>
  <si>
    <t>Greenwich Township</t>
  </si>
  <si>
    <t>Greenwich Township, Cumberland County</t>
  </si>
  <si>
    <t>0807</t>
  </si>
  <si>
    <t>Greenwich Township, Gloucester County</t>
  </si>
  <si>
    <t>2107</t>
  </si>
  <si>
    <t>Greenwich Township, Warren County</t>
  </si>
  <si>
    <t>0903</t>
  </si>
  <si>
    <t>Guttenberg Town</t>
  </si>
  <si>
    <t>Guttenberg Town, Hudson County</t>
  </si>
  <si>
    <t>0223</t>
  </si>
  <si>
    <t>Hackensack City</t>
  </si>
  <si>
    <t>Hackensack City, Bergen County</t>
  </si>
  <si>
    <t>2108</t>
  </si>
  <si>
    <t>Hackettstown Town</t>
  </si>
  <si>
    <t>Hackettstown Town, Warren County</t>
  </si>
  <si>
    <t>0418</t>
  </si>
  <si>
    <t>Haddon Heights Borough</t>
  </si>
  <si>
    <t>Haddon Heights Borough, Camden County</t>
  </si>
  <si>
    <t>0416</t>
  </si>
  <si>
    <t>Haddon Township</t>
  </si>
  <si>
    <t>Haddon Township, Camden County</t>
  </si>
  <si>
    <t>0417</t>
  </si>
  <si>
    <t>Haddonfield Borough</t>
  </si>
  <si>
    <t>Haddonfield Borough, Camden County</t>
  </si>
  <si>
    <t>0316</t>
  </si>
  <si>
    <t>Hainesport Township</t>
  </si>
  <si>
    <t>Hainesport Township, Burlington County</t>
  </si>
  <si>
    <t>1603</t>
  </si>
  <si>
    <t>Haledon Borough</t>
  </si>
  <si>
    <t>Haledon Borough, Passaic County</t>
  </si>
  <si>
    <t>1909</t>
  </si>
  <si>
    <t>Hamburg Borough</t>
  </si>
  <si>
    <t>Hamburg Borough, Sussex County</t>
  </si>
  <si>
    <t>0112</t>
  </si>
  <si>
    <t>Hamilton Township</t>
  </si>
  <si>
    <t>Hamilton Township, Atlantic County</t>
  </si>
  <si>
    <t>1103</t>
  </si>
  <si>
    <t>Hamilton Township, Mercer County</t>
  </si>
  <si>
    <t>0113</t>
  </si>
  <si>
    <t>Hammonton Township</t>
  </si>
  <si>
    <t>Hammonton Township, Atlantic County</t>
  </si>
  <si>
    <t>1013</t>
  </si>
  <si>
    <t>Hampton Borough</t>
  </si>
  <si>
    <t>Hampton Borough, Hunterdon County</t>
  </si>
  <si>
    <t>1910</t>
  </si>
  <si>
    <t>Hampton Township</t>
  </si>
  <si>
    <t>Hampton Township, Sussex County</t>
  </si>
  <si>
    <t>1412</t>
  </si>
  <si>
    <t>Hanover Township</t>
  </si>
  <si>
    <t>Hanover Township, Morris County</t>
  </si>
  <si>
    <t>1413</t>
  </si>
  <si>
    <t>Harding Township</t>
  </si>
  <si>
    <t>Harding Township, Morris County</t>
  </si>
  <si>
    <t>2109</t>
  </si>
  <si>
    <t>Hardwick Township</t>
  </si>
  <si>
    <t>Hardwick Township, Warren County</t>
  </si>
  <si>
    <t>1911</t>
  </si>
  <si>
    <t>Hardyston Township</t>
  </si>
  <si>
    <t>Hardyston Township, Sussex County</t>
  </si>
  <si>
    <t>2110</t>
  </si>
  <si>
    <t>Harmony Township</t>
  </si>
  <si>
    <t>Harmony Township, Warren County</t>
  </si>
  <si>
    <t>0224</t>
  </si>
  <si>
    <t>Harrington Park Borough</t>
  </si>
  <si>
    <t>Harrington Park Borough, Bergen County</t>
  </si>
  <si>
    <t>0904</t>
  </si>
  <si>
    <t>Harrison Town</t>
  </si>
  <si>
    <t>Harrison Town, Hudson County</t>
  </si>
  <si>
    <t>0808</t>
  </si>
  <si>
    <t>Harrison Township</t>
  </si>
  <si>
    <t>Harrison Township, Gloucester County</t>
  </si>
  <si>
    <t>1509</t>
  </si>
  <si>
    <t>Harvey Cedars Borough</t>
  </si>
  <si>
    <t>Harvey Cedars Borough, Ocean County</t>
  </si>
  <si>
    <t>0225</t>
  </si>
  <si>
    <t>Hasbrouck Heights Borough</t>
  </si>
  <si>
    <t>Hasbrouck Heights Borough, Bergen County</t>
  </si>
  <si>
    <t>0226</t>
  </si>
  <si>
    <t>Haworth Borough</t>
  </si>
  <si>
    <t>Haworth Borough, Bergen County</t>
  </si>
  <si>
    <t>1604</t>
  </si>
  <si>
    <t>Hawthorne Borough</t>
  </si>
  <si>
    <t>Hawthorne Borough, Passaic County</t>
  </si>
  <si>
    <t>1339</t>
  </si>
  <si>
    <t>Hazlet Township</t>
  </si>
  <si>
    <t>Hazlet Township, Monmouth County</t>
  </si>
  <si>
    <t>1206</t>
  </si>
  <si>
    <t>Helmetta Borough</t>
  </si>
  <si>
    <t>Helmetta Borough, Middlesex County</t>
  </si>
  <si>
    <t>1014</t>
  </si>
  <si>
    <t>High Bridge Borough</t>
  </si>
  <si>
    <t>High Bridge Borough, Hunterdon County</t>
  </si>
  <si>
    <t>1207</t>
  </si>
  <si>
    <t>Highland Park Borough</t>
  </si>
  <si>
    <t>Highland Park Borough, Middlesex County</t>
  </si>
  <si>
    <t>1317</t>
  </si>
  <si>
    <t>Highlands Borough</t>
  </si>
  <si>
    <t>Highlands Borough, Monmouth County</t>
  </si>
  <si>
    <t>1104</t>
  </si>
  <si>
    <t>Hightstown Borough</t>
  </si>
  <si>
    <t>Hightstown Borough, Mercer County</t>
  </si>
  <si>
    <t>1810</t>
  </si>
  <si>
    <t>Hillsborough Township</t>
  </si>
  <si>
    <t>Hillsborough Township, Somerset County</t>
  </si>
  <si>
    <t>0227</t>
  </si>
  <si>
    <t>Hillsdale Borough</t>
  </si>
  <si>
    <t>Hillsdale Borough, Bergen County</t>
  </si>
  <si>
    <t>2007</t>
  </si>
  <si>
    <t>Hillside Township</t>
  </si>
  <si>
    <t>Hillside Township, Union County</t>
  </si>
  <si>
    <t>0419</t>
  </si>
  <si>
    <t>Hi-nella Borough</t>
  </si>
  <si>
    <t>Hi-nella Borough, Camden County</t>
  </si>
  <si>
    <t>0905</t>
  </si>
  <si>
    <t>Hoboken City</t>
  </si>
  <si>
    <t>Hoboken City, Hudson County</t>
  </si>
  <si>
    <t>0228</t>
  </si>
  <si>
    <t>Ho-Ho-Kus Borough</t>
  </si>
  <si>
    <t>Ho-Ho-Kus Borough, Bergen County</t>
  </si>
  <si>
    <t>1015</t>
  </si>
  <si>
    <t>Holland Township</t>
  </si>
  <si>
    <t>Holland Township, Hunterdon County</t>
  </si>
  <si>
    <t>1318</t>
  </si>
  <si>
    <t>Holmdel Township</t>
  </si>
  <si>
    <t>Holmdel Township, Monmouth County</t>
  </si>
  <si>
    <t>1912</t>
  </si>
  <si>
    <t>Hopatcong Borough</t>
  </si>
  <si>
    <t>Hopatcong Borough, Sussex County</t>
  </si>
  <si>
    <t>2111</t>
  </si>
  <si>
    <t>Hope Township</t>
  </si>
  <si>
    <t>Hope Township, Warren County</t>
  </si>
  <si>
    <t>1105</t>
  </si>
  <si>
    <t>Hopewell Borough</t>
  </si>
  <si>
    <t>Hopewell Borough, Mercer County</t>
  </si>
  <si>
    <t>0607</t>
  </si>
  <si>
    <t>Hopewell Township</t>
  </si>
  <si>
    <t>Hopewell Township, Cumberland County</t>
  </si>
  <si>
    <t>1106</t>
  </si>
  <si>
    <t>Hopewell Township, Mercer County</t>
  </si>
  <si>
    <t>1319</t>
  </si>
  <si>
    <t>Howell Township</t>
  </si>
  <si>
    <t>Howell Township, Monmouth County</t>
  </si>
  <si>
    <t>2112</t>
  </si>
  <si>
    <t>Independence Township</t>
  </si>
  <si>
    <t>Independence Township, Warren County</t>
  </si>
  <si>
    <t>1320</t>
  </si>
  <si>
    <t>Interlaken Borough</t>
  </si>
  <si>
    <t>Interlaken Borough, Monmouth County</t>
  </si>
  <si>
    <t>0709</t>
  </si>
  <si>
    <t>Irvington Township</t>
  </si>
  <si>
    <t>Irvington Township, Essex County</t>
  </si>
  <si>
    <t>1510</t>
  </si>
  <si>
    <t>Island Heights Borough</t>
  </si>
  <si>
    <t>Island Heights Borough, Ocean County</t>
  </si>
  <si>
    <t>1511</t>
  </si>
  <si>
    <t>Jackson Township</t>
  </si>
  <si>
    <t>Jackson Township, Ocean County</t>
  </si>
  <si>
    <t>1208</t>
  </si>
  <si>
    <t>Jamesburg Borough</t>
  </si>
  <si>
    <t>Jamesburg Borough, Middlesex County</t>
  </si>
  <si>
    <t>1414</t>
  </si>
  <si>
    <t>Jefferson Township</t>
  </si>
  <si>
    <t>Jefferson Township, Morris County</t>
  </si>
  <si>
    <t>0906</t>
  </si>
  <si>
    <t>Jersey City City</t>
  </si>
  <si>
    <t>Jersey City City, Hudson County</t>
  </si>
  <si>
    <t>1321</t>
  </si>
  <si>
    <t>Keansburg Borough</t>
  </si>
  <si>
    <t>Keansburg Borough, Monmouth County</t>
  </si>
  <si>
    <t>0907</t>
  </si>
  <si>
    <t>Kearny Town</t>
  </si>
  <si>
    <t>Kearny Town, Hudson County</t>
  </si>
  <si>
    <t>2008</t>
  </si>
  <si>
    <t>Kenilworth Borough</t>
  </si>
  <si>
    <t>Kenilworth Borough, Union County</t>
  </si>
  <si>
    <t>1322</t>
  </si>
  <si>
    <t>Keyport Borough</t>
  </si>
  <si>
    <t>Keyport Borough, Monmouth County</t>
  </si>
  <si>
    <t>1016</t>
  </si>
  <si>
    <t>Kingwood Township</t>
  </si>
  <si>
    <t>Kingwood Township, Hunterdon County</t>
  </si>
  <si>
    <t>1415</t>
  </si>
  <si>
    <t>Kinnelon Borough</t>
  </si>
  <si>
    <t>Kinnelon Borough, Morris County</t>
  </si>
  <si>
    <t>2113</t>
  </si>
  <si>
    <t>Knowlton Township</t>
  </si>
  <si>
    <t>Knowlton Township, Warren County</t>
  </si>
  <si>
    <t>1512</t>
  </si>
  <si>
    <t>Lacey Township</t>
  </si>
  <si>
    <t>Lacey Township, Ocean County</t>
  </si>
  <si>
    <t>1913</t>
  </si>
  <si>
    <t>Lafayette Township</t>
  </si>
  <si>
    <t>Lafayette Township, Sussex County</t>
  </si>
  <si>
    <t>1347</t>
  </si>
  <si>
    <t>1513</t>
  </si>
  <si>
    <t>Lakehurst Borough</t>
  </si>
  <si>
    <t>Lakehurst Borough, Ocean County</t>
  </si>
  <si>
    <t>1514</t>
  </si>
  <si>
    <t>Lakewood Township</t>
  </si>
  <si>
    <t>Lakewood Township, Ocean County</t>
  </si>
  <si>
    <t>1017</t>
  </si>
  <si>
    <t>Lambertville City</t>
  </si>
  <si>
    <t>Lambertville City, Hunterdon County</t>
  </si>
  <si>
    <t>0420</t>
  </si>
  <si>
    <t>Laurel Springs Borough</t>
  </si>
  <si>
    <t>Laurel Springs Borough, Camden County</t>
  </si>
  <si>
    <t>1515</t>
  </si>
  <si>
    <t>Lavallette Borough</t>
  </si>
  <si>
    <t>Lavallette Borough, Ocean County</t>
  </si>
  <si>
    <t>0421</t>
  </si>
  <si>
    <t>Lawnside Borough</t>
  </si>
  <si>
    <t>Lawnside Borough, Camden County</t>
  </si>
  <si>
    <t>0608</t>
  </si>
  <si>
    <t>Lawrence Township</t>
  </si>
  <si>
    <t>Lawrence Township, Cumberland County</t>
  </si>
  <si>
    <t>1107</t>
  </si>
  <si>
    <t>Lawrence Township, Mercer County</t>
  </si>
  <si>
    <t>1018</t>
  </si>
  <si>
    <t>Lebanon Borough</t>
  </si>
  <si>
    <t>Lebanon Borough, Hunterdon County</t>
  </si>
  <si>
    <t>1019</t>
  </si>
  <si>
    <t>Lebanon Township</t>
  </si>
  <si>
    <t>Lebanon Township, Hunterdon County</t>
  </si>
  <si>
    <t>0229</t>
  </si>
  <si>
    <t>Leonia Borough</t>
  </si>
  <si>
    <t>Leonia Borough, Bergen County</t>
  </si>
  <si>
    <t>2114</t>
  </si>
  <si>
    <t>Liberty Township</t>
  </si>
  <si>
    <t>Liberty Township, Warren County</t>
  </si>
  <si>
    <t>1416</t>
  </si>
  <si>
    <t>Lincoln Park Borough</t>
  </si>
  <si>
    <t>Lincoln Park Borough, Morris County</t>
  </si>
  <si>
    <t>2009</t>
  </si>
  <si>
    <t>Linden City</t>
  </si>
  <si>
    <t>Linden City, Union County</t>
  </si>
  <si>
    <t>0422</t>
  </si>
  <si>
    <t>Lindenwold Borough</t>
  </si>
  <si>
    <t>Lindenwold Borough, Camden County</t>
  </si>
  <si>
    <t>0114</t>
  </si>
  <si>
    <t>Linwood City</t>
  </si>
  <si>
    <t>Linwood City, Atlantic County</t>
  </si>
  <si>
    <t>1516</t>
  </si>
  <si>
    <t>Little Egg Harbor Township</t>
  </si>
  <si>
    <t>Little Egg Harbor Township, Ocean County</t>
  </si>
  <si>
    <t>1605</t>
  </si>
  <si>
    <t>Little Falls Township</t>
  </si>
  <si>
    <t>Little Falls Township, Passaic County</t>
  </si>
  <si>
    <t>0230</t>
  </si>
  <si>
    <t>Little Ferry Borough</t>
  </si>
  <si>
    <t>Little Ferry Borough, Bergen County</t>
  </si>
  <si>
    <t>1323</t>
  </si>
  <si>
    <t>Little Silver Borough</t>
  </si>
  <si>
    <t>Little Silver Borough, Monmouth County</t>
  </si>
  <si>
    <t>0710</t>
  </si>
  <si>
    <t>Livingston Township</t>
  </si>
  <si>
    <t>Livingston Township, Essex County</t>
  </si>
  <si>
    <t>1324</t>
  </si>
  <si>
    <t>Loch Arbour Village</t>
  </si>
  <si>
    <t>Loch Arbour Village, Monmouth County</t>
  </si>
  <si>
    <t>0231</t>
  </si>
  <si>
    <t>Lodi Borough</t>
  </si>
  <si>
    <t>Lodi Borough, Bergen County</t>
  </si>
  <si>
    <t>0809</t>
  </si>
  <si>
    <t>Logan Township</t>
  </si>
  <si>
    <t>Logan Township, Gloucester County</t>
  </si>
  <si>
    <t>1517</t>
  </si>
  <si>
    <t>Long Beach Township</t>
  </si>
  <si>
    <t>Long Beach Township, Ocean County</t>
  </si>
  <si>
    <t>1325</t>
  </si>
  <si>
    <t>Long Branch City</t>
  </si>
  <si>
    <t>Long Branch City, Monmouth County</t>
  </si>
  <si>
    <t>1430</t>
  </si>
  <si>
    <t>Long Hill Township</t>
  </si>
  <si>
    <t>Long Hill Township, Morris County</t>
  </si>
  <si>
    <t>0115</t>
  </si>
  <si>
    <t>Longport Borough</t>
  </si>
  <si>
    <t>Longport Borough, Atlantic County</t>
  </si>
  <si>
    <t>2115</t>
  </si>
  <si>
    <t>Lopatcong Township</t>
  </si>
  <si>
    <t>Lopatcong Township, Warren County</t>
  </si>
  <si>
    <t>1704</t>
  </si>
  <si>
    <t>Lower Alloways Creek Township</t>
  </si>
  <si>
    <t>Lower Alloways Creek Township, Salem County</t>
  </si>
  <si>
    <t>0505</t>
  </si>
  <si>
    <t>Lower Township</t>
  </si>
  <si>
    <t>Lower Township, Cape May County</t>
  </si>
  <si>
    <t>0317</t>
  </si>
  <si>
    <t>Lumberton Township</t>
  </si>
  <si>
    <t>Lumberton Township, Burlington County</t>
  </si>
  <si>
    <t>0232</t>
  </si>
  <si>
    <t>Lyndhurst Township</t>
  </si>
  <si>
    <t>Lyndhurst Township, Bergen County</t>
  </si>
  <si>
    <t>1417</t>
  </si>
  <si>
    <t>Madison Borough</t>
  </si>
  <si>
    <t>Madison Borough, Morris County</t>
  </si>
  <si>
    <t>0423</t>
  </si>
  <si>
    <t>Magnolia Borough</t>
  </si>
  <si>
    <t>Magnolia Borough, Camden County</t>
  </si>
  <si>
    <t>0233</t>
  </si>
  <si>
    <t>Mahwah Township</t>
  </si>
  <si>
    <t>Mahwah Township, Bergen County</t>
  </si>
  <si>
    <t>1326</t>
  </si>
  <si>
    <t>Manalapan Township</t>
  </si>
  <si>
    <t>Manalapan Township, Monmouth County</t>
  </si>
  <si>
    <t>1327</t>
  </si>
  <si>
    <t>Manasquan Borough</t>
  </si>
  <si>
    <t>Manasquan Borough, Monmouth County</t>
  </si>
  <si>
    <t>1518</t>
  </si>
  <si>
    <t>Manchester Township</t>
  </si>
  <si>
    <t>Manchester Township, Ocean County</t>
  </si>
  <si>
    <t>1705</t>
  </si>
  <si>
    <t>Mannington Township</t>
  </si>
  <si>
    <t>Mannington Township, Salem County</t>
  </si>
  <si>
    <t>0318</t>
  </si>
  <si>
    <t>Mansfield Township</t>
  </si>
  <si>
    <t>Mansfield Township, Burlington County</t>
  </si>
  <si>
    <t>2116</t>
  </si>
  <si>
    <t>Mansfield Township, Warren County</t>
  </si>
  <si>
    <t>1519</t>
  </si>
  <si>
    <t>Mantoloking Borough</t>
  </si>
  <si>
    <t>Mantoloking Borough, Ocean County</t>
  </si>
  <si>
    <t>0810</t>
  </si>
  <si>
    <t>Mantua Township</t>
  </si>
  <si>
    <t>Mantua Township, Gloucester County</t>
  </si>
  <si>
    <t>1811</t>
  </si>
  <si>
    <t>Manville Borough</t>
  </si>
  <si>
    <t>Manville Borough, Somerset County</t>
  </si>
  <si>
    <t>0319</t>
  </si>
  <si>
    <t>Maple Shade Township</t>
  </si>
  <si>
    <t>Maple Shade Township, Burlington County</t>
  </si>
  <si>
    <t>0711</t>
  </si>
  <si>
    <t>Maplewood Township</t>
  </si>
  <si>
    <t>Maplewood Township, Essex County</t>
  </si>
  <si>
    <t>0116</t>
  </si>
  <si>
    <t>Margate City</t>
  </si>
  <si>
    <t>Margate City, Atlantic County</t>
  </si>
  <si>
    <t>1328</t>
  </si>
  <si>
    <t>Marlboro Township</t>
  </si>
  <si>
    <t>Marlboro Township, Monmouth County</t>
  </si>
  <si>
    <t>1329</t>
  </si>
  <si>
    <t>Matawan Borough</t>
  </si>
  <si>
    <t>Matawan Borough, Monmouth County</t>
  </si>
  <si>
    <t>0609</t>
  </si>
  <si>
    <t>Maurice River Township</t>
  </si>
  <si>
    <t>Maurice River Township, Cumberland County</t>
  </si>
  <si>
    <t>0234</t>
  </si>
  <si>
    <t>Maywood Borough</t>
  </si>
  <si>
    <t>Maywood Borough, Bergen County</t>
  </si>
  <si>
    <t>0321</t>
  </si>
  <si>
    <t>Medford Lakes Borough</t>
  </si>
  <si>
    <t>Medford Lakes Borough, Burlington County</t>
  </si>
  <si>
    <t>0320</t>
  </si>
  <si>
    <t>Medford Township</t>
  </si>
  <si>
    <t>Medford Township, Burlington County</t>
  </si>
  <si>
    <t>1418</t>
  </si>
  <si>
    <t>Mendham Borough</t>
  </si>
  <si>
    <t>Mendham Borough, Morris County</t>
  </si>
  <si>
    <t>1419</t>
  </si>
  <si>
    <t>Mendham Township</t>
  </si>
  <si>
    <t>Mendham Township, Morris County</t>
  </si>
  <si>
    <t>0424</t>
  </si>
  <si>
    <t>Merchantville Borough</t>
  </si>
  <si>
    <t>Merchantville Borough, Camden County</t>
  </si>
  <si>
    <t>1210</t>
  </si>
  <si>
    <t>Metuchen Borough</t>
  </si>
  <si>
    <t>Metuchen Borough, Middlesex County</t>
  </si>
  <si>
    <t>0506</t>
  </si>
  <si>
    <t>Middle Township</t>
  </si>
  <si>
    <t>Middle Township, Cape May County</t>
  </si>
  <si>
    <t>1211</t>
  </si>
  <si>
    <t>Middlesex Borough</t>
  </si>
  <si>
    <t>Middlesex Borough, Middlesex County</t>
  </si>
  <si>
    <t>1331</t>
  </si>
  <si>
    <t>Middletown Township</t>
  </si>
  <si>
    <t>Middletown Township, Monmouth County</t>
  </si>
  <si>
    <t>0235</t>
  </si>
  <si>
    <t>Midland Park Borough</t>
  </si>
  <si>
    <t>Midland Park Borough, Bergen County</t>
  </si>
  <si>
    <t>1020</t>
  </si>
  <si>
    <t>Milford Borough</t>
  </si>
  <si>
    <t>Milford Borough, Hunterdon County</t>
  </si>
  <si>
    <t>0712</t>
  </si>
  <si>
    <t>Millburn Township</t>
  </si>
  <si>
    <t>Millburn Township, Essex County</t>
  </si>
  <si>
    <t>1812</t>
  </si>
  <si>
    <t>Millstone Borough</t>
  </si>
  <si>
    <t>Millstone Borough, Somerset County</t>
  </si>
  <si>
    <t>1332</t>
  </si>
  <si>
    <t>Millstone Township</t>
  </si>
  <si>
    <t>Millstone Township, Monmouth County</t>
  </si>
  <si>
    <t>1212</t>
  </si>
  <si>
    <t>Milltown Borough</t>
  </si>
  <si>
    <t>Milltown Borough, Middlesex County</t>
  </si>
  <si>
    <t>0610</t>
  </si>
  <si>
    <t>Millville City</t>
  </si>
  <si>
    <t>Millville City, Cumberland County</t>
  </si>
  <si>
    <t>1420</t>
  </si>
  <si>
    <t>Mine Hill Township</t>
  </si>
  <si>
    <t>Mine Hill Township, Morris County</t>
  </si>
  <si>
    <t>1333</t>
  </si>
  <si>
    <t>Monmouth Beach Borough</t>
  </si>
  <si>
    <t>Monmouth Beach Borough, Monmouth County</t>
  </si>
  <si>
    <t>0811</t>
  </si>
  <si>
    <t>Monroe Township</t>
  </si>
  <si>
    <t>Monroe Township, Gloucester County</t>
  </si>
  <si>
    <t>1213</t>
  </si>
  <si>
    <t>Monroe Township, Middlesex County</t>
  </si>
  <si>
    <t>1914</t>
  </si>
  <si>
    <t>Montague Township</t>
  </si>
  <si>
    <t>Montague Township, Sussex County</t>
  </si>
  <si>
    <t>0713</t>
  </si>
  <si>
    <t>Montclair Township</t>
  </si>
  <si>
    <t>Montclair Township, Essex County</t>
  </si>
  <si>
    <t>1813</t>
  </si>
  <si>
    <t>Montgomery Township</t>
  </si>
  <si>
    <t>Montgomery Township, Somerset County</t>
  </si>
  <si>
    <t>0236</t>
  </si>
  <si>
    <t>Montvale Borough</t>
  </si>
  <si>
    <t>Montvale Borough, Bergen County</t>
  </si>
  <si>
    <t>1421</t>
  </si>
  <si>
    <t>Montville Township</t>
  </si>
  <si>
    <t>Montville Township, Morris County</t>
  </si>
  <si>
    <t>0237</t>
  </si>
  <si>
    <t>Moonachie Borough</t>
  </si>
  <si>
    <t>Moonachie Borough, Bergen County</t>
  </si>
  <si>
    <t>0322</t>
  </si>
  <si>
    <t>Moorestown Township</t>
  </si>
  <si>
    <t>Moorestown Township, Burlington County</t>
  </si>
  <si>
    <t>1423</t>
  </si>
  <si>
    <t>Morris Plains Borough</t>
  </si>
  <si>
    <t>Morris Plains Borough, Morris County</t>
  </si>
  <si>
    <t>1422</t>
  </si>
  <si>
    <t>Morris Township</t>
  </si>
  <si>
    <t>Morris Township, Morris County</t>
  </si>
  <si>
    <t>1424</t>
  </si>
  <si>
    <t>Morristown Town</t>
  </si>
  <si>
    <t>Morristown Town, Morris County</t>
  </si>
  <si>
    <t>1426</t>
  </si>
  <si>
    <t>Mount Arlington Borough</t>
  </si>
  <si>
    <t>Mount Arlington Borough, Morris County</t>
  </si>
  <si>
    <t>0425</t>
  </si>
  <si>
    <t>Mount Ephraim Borough</t>
  </si>
  <si>
    <t>Mount Ephraim Borough, Camden County</t>
  </si>
  <si>
    <t>0323</t>
  </si>
  <si>
    <t>Mount Holly Township</t>
  </si>
  <si>
    <t>Mount Holly Township, Burlington County</t>
  </si>
  <si>
    <t>0324</t>
  </si>
  <si>
    <t>Mount Laurel Township</t>
  </si>
  <si>
    <t>Mount Laurel Township, Burlington County</t>
  </si>
  <si>
    <t>1427</t>
  </si>
  <si>
    <t>Mount Olive Township</t>
  </si>
  <si>
    <t>Mount Olive Township, Morris County</t>
  </si>
  <si>
    <t>1425</t>
  </si>
  <si>
    <t>Mountain Lakes Borough</t>
  </si>
  <si>
    <t>Mountain Lakes Borough, Morris County</t>
  </si>
  <si>
    <t>2010</t>
  </si>
  <si>
    <t>Mountainside Borough</t>
  </si>
  <si>
    <t>Mountainside Borough, Union County</t>
  </si>
  <si>
    <t>0117</t>
  </si>
  <si>
    <t>Mullica Township</t>
  </si>
  <si>
    <t>Mullica Township, Atlantic County</t>
  </si>
  <si>
    <t>0812</t>
  </si>
  <si>
    <t>National Park Borough</t>
  </si>
  <si>
    <t>National Park Borough, Gloucester County</t>
  </si>
  <si>
    <t>1335</t>
  </si>
  <si>
    <t>Neptune City Borough</t>
  </si>
  <si>
    <t>Neptune City Borough, Monmouth County</t>
  </si>
  <si>
    <t>1334</t>
  </si>
  <si>
    <t>Neptune Township</t>
  </si>
  <si>
    <t>Neptune Township, Monmouth County</t>
  </si>
  <si>
    <t>1428</t>
  </si>
  <si>
    <t>Netcong Borough</t>
  </si>
  <si>
    <t>Netcong Borough, Morris County</t>
  </si>
  <si>
    <t>1214</t>
  </si>
  <si>
    <t>New Brunswick City</t>
  </si>
  <si>
    <t>New Brunswick City, Middlesex County</t>
  </si>
  <si>
    <t>0325</t>
  </si>
  <si>
    <t>New Hanover Township</t>
  </si>
  <si>
    <t>New Hanover Township, Burlington County</t>
  </si>
  <si>
    <t>0238</t>
  </si>
  <si>
    <t>New Milford Borough</t>
  </si>
  <si>
    <t>New Milford Borough, Bergen County</t>
  </si>
  <si>
    <t>2011</t>
  </si>
  <si>
    <t>New Providence Borough</t>
  </si>
  <si>
    <t>New Providence Borough, Union County</t>
  </si>
  <si>
    <t>0714</t>
  </si>
  <si>
    <t>Newark City</t>
  </si>
  <si>
    <t>Newark City, Essex County</t>
  </si>
  <si>
    <t>0813</t>
  </si>
  <si>
    <t>Newfield Borough</t>
  </si>
  <si>
    <t>Newfield Borough, Gloucester County</t>
  </si>
  <si>
    <t>1915</t>
  </si>
  <si>
    <t>Newton Town</t>
  </si>
  <si>
    <t>Newton Town, Sussex County</t>
  </si>
  <si>
    <t>0239</t>
  </si>
  <si>
    <t>North Arlington Borough</t>
  </si>
  <si>
    <t>North Arlington Borough, Bergen County</t>
  </si>
  <si>
    <t>0908</t>
  </si>
  <si>
    <t>North Bergen Township</t>
  </si>
  <si>
    <t>North Bergen Township, Hudson County</t>
  </si>
  <si>
    <t>1215</t>
  </si>
  <si>
    <t>North Brunswick Township</t>
  </si>
  <si>
    <t>North Brunswick Township, Middlesex County</t>
  </si>
  <si>
    <t>0715</t>
  </si>
  <si>
    <t>North Caldwell Borough</t>
  </si>
  <si>
    <t>North Caldwell Borough, Essex County</t>
  </si>
  <si>
    <t>1606</t>
  </si>
  <si>
    <t>North Haledon Borough</t>
  </si>
  <si>
    <t>North Haledon Borough, Passaic County</t>
  </si>
  <si>
    <t>0326</t>
  </si>
  <si>
    <t>North Hanover Township</t>
  </si>
  <si>
    <t>North Hanover Township, Burlington County</t>
  </si>
  <si>
    <t>1814</t>
  </si>
  <si>
    <t>North Plainfield Borough</t>
  </si>
  <si>
    <t>North Plainfield Borough, Somerset County</t>
  </si>
  <si>
    <t>0507</t>
  </si>
  <si>
    <t>North Wildwood City</t>
  </si>
  <si>
    <t>North Wildwood City, Cape May County</t>
  </si>
  <si>
    <t>0118</t>
  </si>
  <si>
    <t>Northfield City</t>
  </si>
  <si>
    <t>Northfield City, Atlantic County</t>
  </si>
  <si>
    <t>0240</t>
  </si>
  <si>
    <t>Northvale Borough</t>
  </si>
  <si>
    <t>Northvale Borough, Bergen County</t>
  </si>
  <si>
    <t>0241</t>
  </si>
  <si>
    <t>Norwood Borough</t>
  </si>
  <si>
    <t>Norwood Borough, Bergen County</t>
  </si>
  <si>
    <t>0716</t>
  </si>
  <si>
    <t>Nutley Township</t>
  </si>
  <si>
    <t>Nutley Township, Essex County</t>
  </si>
  <si>
    <t>0242</t>
  </si>
  <si>
    <t>Oakland Borough</t>
  </si>
  <si>
    <t>Oakland Borough, Bergen County</t>
  </si>
  <si>
    <t>0426</t>
  </si>
  <si>
    <t>Oaklyn Borough</t>
  </si>
  <si>
    <t>Oaklyn Borough, Camden County</t>
  </si>
  <si>
    <t>0508</t>
  </si>
  <si>
    <t>Ocean City City</t>
  </si>
  <si>
    <t>Ocean City City, Cape May County</t>
  </si>
  <si>
    <t>1521</t>
  </si>
  <si>
    <t>Ocean Gate Borough</t>
  </si>
  <si>
    <t>Ocean Gate Borough, Ocean County</t>
  </si>
  <si>
    <t>1337</t>
  </si>
  <si>
    <t>Ocean Township</t>
  </si>
  <si>
    <t>Ocean Township, Monmouth County</t>
  </si>
  <si>
    <t>1520</t>
  </si>
  <si>
    <t>Ocean Township, Ocean County</t>
  </si>
  <si>
    <t>1338</t>
  </si>
  <si>
    <t>Oceanport Borough</t>
  </si>
  <si>
    <t>Oceanport Borough, Monmouth County</t>
  </si>
  <si>
    <t>1916</t>
  </si>
  <si>
    <t>Ogdensburg Borough</t>
  </si>
  <si>
    <t>Ogdensburg Borough, Sussex County</t>
  </si>
  <si>
    <t>1209</t>
  </si>
  <si>
    <t>Old Bridge Township</t>
  </si>
  <si>
    <t>Old Bridge Township, Middlesex County</t>
  </si>
  <si>
    <t>0243</t>
  </si>
  <si>
    <t>Old Tappan Borough</t>
  </si>
  <si>
    <t>Old Tappan Borough, Bergen County</t>
  </si>
  <si>
    <t>1706</t>
  </si>
  <si>
    <t>Oldmans Township</t>
  </si>
  <si>
    <t>Oldmans Township, Salem County</t>
  </si>
  <si>
    <t>0244</t>
  </si>
  <si>
    <t>Oradell Borough</t>
  </si>
  <si>
    <t>Oradell Borough, Bergen County</t>
  </si>
  <si>
    <t>0717</t>
  </si>
  <si>
    <t>Orange City</t>
  </si>
  <si>
    <t>Orange City, Essex County</t>
  </si>
  <si>
    <t>2117</t>
  </si>
  <si>
    <t>Oxford Township</t>
  </si>
  <si>
    <t>Oxford Township, Warren County</t>
  </si>
  <si>
    <t>0245</t>
  </si>
  <si>
    <t>Palisades Park Borough</t>
  </si>
  <si>
    <t>Palisades Park Borough, Bergen County</t>
  </si>
  <si>
    <t>0327</t>
  </si>
  <si>
    <t>Palmyra Borough</t>
  </si>
  <si>
    <t>Palmyra Borough, Burlington County</t>
  </si>
  <si>
    <t>0246</t>
  </si>
  <si>
    <t>Paramus Borough</t>
  </si>
  <si>
    <t>Paramus Borough, Bergen County</t>
  </si>
  <si>
    <t>0247</t>
  </si>
  <si>
    <t>Park Ridge Borough</t>
  </si>
  <si>
    <t>Park Ridge Borough, Bergen County</t>
  </si>
  <si>
    <t>1429</t>
  </si>
  <si>
    <t>Parsippany-Troy Hills Township</t>
  </si>
  <si>
    <t>Parsippany-Troy Hills Township, Morris County</t>
  </si>
  <si>
    <t>1607</t>
  </si>
  <si>
    <t>Passaic City</t>
  </si>
  <si>
    <t>Passaic City, Passaic County</t>
  </si>
  <si>
    <t>1608</t>
  </si>
  <si>
    <t>Paterson City</t>
  </si>
  <si>
    <t>Paterson City, Passaic County</t>
  </si>
  <si>
    <t>0814</t>
  </si>
  <si>
    <t>Paulsboro Borough</t>
  </si>
  <si>
    <t>Paulsboro Borough, Gloucester County</t>
  </si>
  <si>
    <t>1815</t>
  </si>
  <si>
    <t>Peapack-Gladstone Borough</t>
  </si>
  <si>
    <t>Peapack-Gladstone Borough, Somerset County</t>
  </si>
  <si>
    <t>0328</t>
  </si>
  <si>
    <t>Pemberton Borough</t>
  </si>
  <si>
    <t>Pemberton Borough, Burlington County</t>
  </si>
  <si>
    <t>0329</t>
  </si>
  <si>
    <t>Pemberton Township</t>
  </si>
  <si>
    <t>Pemberton Township, Burlington County</t>
  </si>
  <si>
    <t>1108</t>
  </si>
  <si>
    <t>Pennington Borough</t>
  </si>
  <si>
    <t>Pennington Borough, Mercer County</t>
  </si>
  <si>
    <t>1707</t>
  </si>
  <si>
    <t>Penns Grove Borough</t>
  </si>
  <si>
    <t>Penns Grove Borough, Salem County</t>
  </si>
  <si>
    <t>0427</t>
  </si>
  <si>
    <t>Pennsauken Township</t>
  </si>
  <si>
    <t>Pennsauken Township, Camden County</t>
  </si>
  <si>
    <t>1708</t>
  </si>
  <si>
    <t>Pennsville Township</t>
  </si>
  <si>
    <t>Pennsville Township, Salem County</t>
  </si>
  <si>
    <t>1431</t>
  </si>
  <si>
    <t>Pequannock Township</t>
  </si>
  <si>
    <t>Pequannock Township, Morris County</t>
  </si>
  <si>
    <t>1216</t>
  </si>
  <si>
    <t>Perth Amboy City</t>
  </si>
  <si>
    <t>Perth Amboy City, Middlesex County</t>
  </si>
  <si>
    <t>2119</t>
  </si>
  <si>
    <t>Phillipsburg Town</t>
  </si>
  <si>
    <t>Phillipsburg Town, Warren County</t>
  </si>
  <si>
    <t>1709</t>
  </si>
  <si>
    <t>Pilesgrove Township</t>
  </si>
  <si>
    <t>Pilesgrove Township, Salem County</t>
  </si>
  <si>
    <t>1522</t>
  </si>
  <si>
    <t>Pine Beach Borough</t>
  </si>
  <si>
    <t>Pine Beach Borough, Ocean County</t>
  </si>
  <si>
    <t>0428</t>
  </si>
  <si>
    <t>Pine Hill Borough</t>
  </si>
  <si>
    <t>Pine Hill Borough, Camden County</t>
  </si>
  <si>
    <t>0429</t>
  </si>
  <si>
    <t>Pine Valley Borough</t>
  </si>
  <si>
    <t>Pine Valley Borough, Camden County</t>
  </si>
  <si>
    <t>1217</t>
  </si>
  <si>
    <t>Piscataway Township</t>
  </si>
  <si>
    <t>Piscataway Township, Middlesex County</t>
  </si>
  <si>
    <t>0815</t>
  </si>
  <si>
    <t>Pitman Borough</t>
  </si>
  <si>
    <t>Pitman Borough, Gloucester County</t>
  </si>
  <si>
    <t>1710</t>
  </si>
  <si>
    <t>Pittsgrove Township</t>
  </si>
  <si>
    <t>Pittsgrove Township, Salem County</t>
  </si>
  <si>
    <t>2012</t>
  </si>
  <si>
    <t>Plainfield City</t>
  </si>
  <si>
    <t>Plainfield City, Union County</t>
  </si>
  <si>
    <t>1218</t>
  </si>
  <si>
    <t>Plainsboro Township</t>
  </si>
  <si>
    <t>Plainsboro Township, Middlesex County</t>
  </si>
  <si>
    <t>0119</t>
  </si>
  <si>
    <t>Pleasantville City</t>
  </si>
  <si>
    <t>Pleasantville City, Atlantic County</t>
  </si>
  <si>
    <t>1523</t>
  </si>
  <si>
    <t>Plumsted Township</t>
  </si>
  <si>
    <t>Plumsted Township, Ocean County</t>
  </si>
  <si>
    <t>2120</t>
  </si>
  <si>
    <t>Pohatcong Township</t>
  </si>
  <si>
    <t>Pohatcong Township, Warren County</t>
  </si>
  <si>
    <t>1525</t>
  </si>
  <si>
    <t>Point Pleasant Beach Borough</t>
  </si>
  <si>
    <t>Point Pleasant Beach Borough, Ocean County</t>
  </si>
  <si>
    <t>1524</t>
  </si>
  <si>
    <t>Point Pleasant Borough</t>
  </si>
  <si>
    <t>Point Pleasant Borough, Ocean County</t>
  </si>
  <si>
    <t>1609</t>
  </si>
  <si>
    <t>Pompton Lakes Borough</t>
  </si>
  <si>
    <t>Pompton Lakes Borough, Passaic County</t>
  </si>
  <si>
    <t>0120</t>
  </si>
  <si>
    <t>Port Republic City</t>
  </si>
  <si>
    <t>Port Republic City, Atlantic County</t>
  </si>
  <si>
    <t>1114</t>
  </si>
  <si>
    <t>Princeton</t>
  </si>
  <si>
    <t>Princeton, Mercer County</t>
  </si>
  <si>
    <t>1610</t>
  </si>
  <si>
    <t>Prospect Park Borough</t>
  </si>
  <si>
    <t>Prospect Park Borough, Passaic County</t>
  </si>
  <si>
    <t>1711</t>
  </si>
  <si>
    <t>Quinton Township</t>
  </si>
  <si>
    <t>Quinton Township, Salem County</t>
  </si>
  <si>
    <t>2013</t>
  </si>
  <si>
    <t>Rahway City</t>
  </si>
  <si>
    <t>Rahway City, Union County</t>
  </si>
  <si>
    <t>0248</t>
  </si>
  <si>
    <t>Ramsey Borough</t>
  </si>
  <si>
    <t>Ramsey Borough, Bergen County</t>
  </si>
  <si>
    <t>1432</t>
  </si>
  <si>
    <t>Randolph Township</t>
  </si>
  <si>
    <t>Randolph Township, Morris County</t>
  </si>
  <si>
    <t>1816</t>
  </si>
  <si>
    <t>Raritan Borough</t>
  </si>
  <si>
    <t>Raritan Borough, Somerset County</t>
  </si>
  <si>
    <t>1021</t>
  </si>
  <si>
    <t>Raritan Township</t>
  </si>
  <si>
    <t>Raritan Township, Hunterdon County</t>
  </si>
  <si>
    <t>1022</t>
  </si>
  <si>
    <t>Readington Township</t>
  </si>
  <si>
    <t>Readington Township, Hunterdon County</t>
  </si>
  <si>
    <t>1340</t>
  </si>
  <si>
    <t>Red Bank Borough</t>
  </si>
  <si>
    <t>Red Bank Borough, Monmouth County</t>
  </si>
  <si>
    <t>0249</t>
  </si>
  <si>
    <t>Ridgefield Borough</t>
  </si>
  <si>
    <t>Ridgefield Borough, Bergen County</t>
  </si>
  <si>
    <t>0250</t>
  </si>
  <si>
    <t>Ridgefield Park Village</t>
  </si>
  <si>
    <t>Ridgefield Park Village, Bergen County</t>
  </si>
  <si>
    <t>0251</t>
  </si>
  <si>
    <t>Ridgewood Village</t>
  </si>
  <si>
    <t>Ridgewood Village, Bergen County</t>
  </si>
  <si>
    <t>1611</t>
  </si>
  <si>
    <t>Ringwood Borough</t>
  </si>
  <si>
    <t>Ringwood Borough, Passaic County</t>
  </si>
  <si>
    <t>0252</t>
  </si>
  <si>
    <t>River Edge Borough</t>
  </si>
  <si>
    <t>River Edge Borough, Bergen County</t>
  </si>
  <si>
    <t>0253</t>
  </si>
  <si>
    <t>River Vale Township</t>
  </si>
  <si>
    <t>River Vale Township, Bergen County</t>
  </si>
  <si>
    <t>1433</t>
  </si>
  <si>
    <t>Riverdale Borough</t>
  </si>
  <si>
    <t>Riverdale Borough, Morris County</t>
  </si>
  <si>
    <t>0330</t>
  </si>
  <si>
    <t>Riverside Township</t>
  </si>
  <si>
    <t>Riverside Township, Burlington County</t>
  </si>
  <si>
    <t>0331</t>
  </si>
  <si>
    <t>Riverton Borough</t>
  </si>
  <si>
    <t>Riverton Borough, Burlington County</t>
  </si>
  <si>
    <t>1112</t>
  </si>
  <si>
    <t>Robbinsville Township</t>
  </si>
  <si>
    <t>Robbinsville Township, Mercer County</t>
  </si>
  <si>
    <t>0254</t>
  </si>
  <si>
    <t>Rochelle Park Township</t>
  </si>
  <si>
    <t>Rochelle Park Township, Bergen County</t>
  </si>
  <si>
    <t>1434</t>
  </si>
  <si>
    <t>Rockaway Borough</t>
  </si>
  <si>
    <t>Rockaway Borough, Morris County</t>
  </si>
  <si>
    <t>1435</t>
  </si>
  <si>
    <t>Rockaway Township</t>
  </si>
  <si>
    <t>Rockaway Township, Morris County</t>
  </si>
  <si>
    <t>0255</t>
  </si>
  <si>
    <t>Rockleigh Borough</t>
  </si>
  <si>
    <t>Rockleigh Borough, Bergen County</t>
  </si>
  <si>
    <t>1817</t>
  </si>
  <si>
    <t>Rocky Hill Borough</t>
  </si>
  <si>
    <t>Rocky Hill Borough, Somerset County</t>
  </si>
  <si>
    <t>1341</t>
  </si>
  <si>
    <t>Roosevelt Borough</t>
  </si>
  <si>
    <t>Roosevelt Borough, Monmouth County</t>
  </si>
  <si>
    <t>0718</t>
  </si>
  <si>
    <t>Roseland Borough</t>
  </si>
  <si>
    <t>Roseland Borough, Essex County</t>
  </si>
  <si>
    <t>2014</t>
  </si>
  <si>
    <t>Roselle Borough</t>
  </si>
  <si>
    <t>Roselle Borough, Union County</t>
  </si>
  <si>
    <t>2015</t>
  </si>
  <si>
    <t>Roselle Park Borough</t>
  </si>
  <si>
    <t>Roselle Park Borough, Union County</t>
  </si>
  <si>
    <t>1436</t>
  </si>
  <si>
    <t>Roxbury Township</t>
  </si>
  <si>
    <t>Roxbury Township, Morris County</t>
  </si>
  <si>
    <t>1342</t>
  </si>
  <si>
    <t>Rumson Borough</t>
  </si>
  <si>
    <t>Rumson Borough, Monmouth County</t>
  </si>
  <si>
    <t>0430</t>
  </si>
  <si>
    <t>Runnemede Borough</t>
  </si>
  <si>
    <t>Runnemede Borough, Camden County</t>
  </si>
  <si>
    <t>0256</t>
  </si>
  <si>
    <t>Rutherford Borough</t>
  </si>
  <si>
    <t>Rutherford Borough, Bergen County</t>
  </si>
  <si>
    <t>0257</t>
  </si>
  <si>
    <t>Saddle Brook Township</t>
  </si>
  <si>
    <t>Saddle Brook Township, Bergen County</t>
  </si>
  <si>
    <t>0258</t>
  </si>
  <si>
    <t>Saddle River Borough</t>
  </si>
  <si>
    <t>Saddle River Borough, Bergen County</t>
  </si>
  <si>
    <t>1712</t>
  </si>
  <si>
    <t>Salem City</t>
  </si>
  <si>
    <t>Salem City, Salem County</t>
  </si>
  <si>
    <t>1917</t>
  </si>
  <si>
    <t>Sandyston Township</t>
  </si>
  <si>
    <t>Sandyston Township, Sussex County</t>
  </si>
  <si>
    <t>1219</t>
  </si>
  <si>
    <t>Sayreville Borough</t>
  </si>
  <si>
    <t>Sayreville Borough, Middlesex County</t>
  </si>
  <si>
    <t>2016</t>
  </si>
  <si>
    <t>Scotch Plains Township</t>
  </si>
  <si>
    <t>Scotch Plains Township, Union County</t>
  </si>
  <si>
    <t>1343</t>
  </si>
  <si>
    <t>Sea Bright Borough</t>
  </si>
  <si>
    <t>Sea Bright Borough, Monmouth County</t>
  </si>
  <si>
    <t>1344</t>
  </si>
  <si>
    <t>Sea Girt Borough</t>
  </si>
  <si>
    <t>Sea Girt Borough, Monmouth County</t>
  </si>
  <si>
    <t>0509</t>
  </si>
  <si>
    <t>Sea Isle City</t>
  </si>
  <si>
    <t>Sea Isle City, Cape May County</t>
  </si>
  <si>
    <t>1526</t>
  </si>
  <si>
    <t>Seaside Heights Borough</t>
  </si>
  <si>
    <t>Seaside Heights Borough, Ocean County</t>
  </si>
  <si>
    <t>1527</t>
  </si>
  <si>
    <t>Seaside Park Borough</t>
  </si>
  <si>
    <t>Seaside Park Borough, Ocean County</t>
  </si>
  <si>
    <t>0909</t>
  </si>
  <si>
    <t>Secaucus Town</t>
  </si>
  <si>
    <t>Secaucus Town, Hudson County</t>
  </si>
  <si>
    <t>0332</t>
  </si>
  <si>
    <t>Shamong Township</t>
  </si>
  <si>
    <t>Shamong Township, Burlington County</t>
  </si>
  <si>
    <t>0611</t>
  </si>
  <si>
    <t>Shiloh Borough</t>
  </si>
  <si>
    <t>Shiloh Borough, Cumberland County</t>
  </si>
  <si>
    <t>1528</t>
  </si>
  <si>
    <t>Ship Bottom Borough</t>
  </si>
  <si>
    <t>Ship Bottom Borough, Ocean County</t>
  </si>
  <si>
    <t>1345</t>
  </si>
  <si>
    <t>Shrewsbury Borough</t>
  </si>
  <si>
    <t>Shrewsbury Borough, Monmouth County</t>
  </si>
  <si>
    <t>1346</t>
  </si>
  <si>
    <t>Shrewsbury Township</t>
  </si>
  <si>
    <t>Shrewsbury Township, Monmouth County</t>
  </si>
  <si>
    <t>0431</t>
  </si>
  <si>
    <t>Somerdale Borough</t>
  </si>
  <si>
    <t>Somerdale Borough, Camden County</t>
  </si>
  <si>
    <t>0121</t>
  </si>
  <si>
    <t>Somers Point City</t>
  </si>
  <si>
    <t>Somers Point City, Atlantic County</t>
  </si>
  <si>
    <t>1818</t>
  </si>
  <si>
    <t>Somerville Borough</t>
  </si>
  <si>
    <t>Somerville Borough, Somerset County</t>
  </si>
  <si>
    <t>1220</t>
  </si>
  <si>
    <t>South Amboy City</t>
  </si>
  <si>
    <t>South Amboy City, Middlesex County</t>
  </si>
  <si>
    <t>1819</t>
  </si>
  <si>
    <t>South Bound Brook Borough</t>
  </si>
  <si>
    <t>South Bound Brook Borough, Somerset County</t>
  </si>
  <si>
    <t>1221</t>
  </si>
  <si>
    <t>South Brunswick Township</t>
  </si>
  <si>
    <t>South Brunswick Township, Middlesex County</t>
  </si>
  <si>
    <t>0259</t>
  </si>
  <si>
    <t>South Hackensack Township</t>
  </si>
  <si>
    <t>South Hackensack Township, Bergen County</t>
  </si>
  <si>
    <t>0816</t>
  </si>
  <si>
    <t>South Harrison Township</t>
  </si>
  <si>
    <t>South Harrison Township, Gloucester County</t>
  </si>
  <si>
    <t>0719</t>
  </si>
  <si>
    <t>South Orange Village</t>
  </si>
  <si>
    <t>South Orange Village, Essex County</t>
  </si>
  <si>
    <t>1222</t>
  </si>
  <si>
    <t>South Plainfield Borough</t>
  </si>
  <si>
    <t>South Plainfield Borough, Middlesex County</t>
  </si>
  <si>
    <t>1223</t>
  </si>
  <si>
    <t>South River Borough</t>
  </si>
  <si>
    <t>South River Borough, Middlesex County</t>
  </si>
  <si>
    <t>1529</t>
  </si>
  <si>
    <t>South Toms River Borough</t>
  </si>
  <si>
    <t>South Toms River Borough, Ocean County</t>
  </si>
  <si>
    <t>0333</t>
  </si>
  <si>
    <t>Southampton Township</t>
  </si>
  <si>
    <t>Southampton Township, Burlington County</t>
  </si>
  <si>
    <t>1918</t>
  </si>
  <si>
    <t>Sparta Township</t>
  </si>
  <si>
    <t>Sparta Township, Sussex County</t>
  </si>
  <si>
    <t>1224</t>
  </si>
  <si>
    <t>Spotswood Borough</t>
  </si>
  <si>
    <t>Spotswood Borough, Middlesex County</t>
  </si>
  <si>
    <t>1348</t>
  </si>
  <si>
    <t>Spring Lake Borough</t>
  </si>
  <si>
    <t>Spring Lake Borough, Monmouth County</t>
  </si>
  <si>
    <t>1349</t>
  </si>
  <si>
    <t>Spring Lake Heights Borough</t>
  </si>
  <si>
    <t>Spring Lake Heights Borough, Monmouth County</t>
  </si>
  <si>
    <t>0334</t>
  </si>
  <si>
    <t>Springfield Township</t>
  </si>
  <si>
    <t>Springfield Township, Burlington County</t>
  </si>
  <si>
    <t>2017</t>
  </si>
  <si>
    <t>Springfield Township, Union County</t>
  </si>
  <si>
    <t>1530</t>
  </si>
  <si>
    <t>Stafford Township</t>
  </si>
  <si>
    <t>Stafford Township, Ocean County</t>
  </si>
  <si>
    <t>1919</t>
  </si>
  <si>
    <t>Stanhope Borough</t>
  </si>
  <si>
    <t>Stanhope Borough, Sussex County</t>
  </si>
  <si>
    <t>1920</t>
  </si>
  <si>
    <t>Stillwater Township</t>
  </si>
  <si>
    <t>Stillwater Township, Sussex County</t>
  </si>
  <si>
    <t>1023</t>
  </si>
  <si>
    <t>Stockton Borough</t>
  </si>
  <si>
    <t>Stockton Borough, Hunterdon County</t>
  </si>
  <si>
    <t>0510</t>
  </si>
  <si>
    <t>Stone Harbor Borough</t>
  </si>
  <si>
    <t>Stone Harbor Borough, Cape May County</t>
  </si>
  <si>
    <t>0612</t>
  </si>
  <si>
    <t>Stow Creek Township</t>
  </si>
  <si>
    <t>Stow Creek Township, Cumberland County</t>
  </si>
  <si>
    <t>0432</t>
  </si>
  <si>
    <t>Stratford Borough</t>
  </si>
  <si>
    <t>Stratford Borough, Camden County</t>
  </si>
  <si>
    <t>2018</t>
  </si>
  <si>
    <t>Summit City</t>
  </si>
  <si>
    <t>Summit City, Union County</t>
  </si>
  <si>
    <t>1531</t>
  </si>
  <si>
    <t>Surf City Borough</t>
  </si>
  <si>
    <t>Surf City Borough, Ocean County</t>
  </si>
  <si>
    <t>1921</t>
  </si>
  <si>
    <t>Sussex Borough</t>
  </si>
  <si>
    <t>Sussex Borough, Sussex County</t>
  </si>
  <si>
    <t>0817</t>
  </si>
  <si>
    <t>Swedesboro Borough</t>
  </si>
  <si>
    <t>Swedesboro Borough, Gloucester County</t>
  </si>
  <si>
    <t>0335</t>
  </si>
  <si>
    <t>Tabernacle Township</t>
  </si>
  <si>
    <t>Tabernacle Township, Burlington County</t>
  </si>
  <si>
    <t>0433</t>
  </si>
  <si>
    <t>Tavistock Borough</t>
  </si>
  <si>
    <t>Tavistock Borough, Camden County</t>
  </si>
  <si>
    <t>0260</t>
  </si>
  <si>
    <t>Teaneck Township</t>
  </si>
  <si>
    <t>Teaneck Township, Bergen County</t>
  </si>
  <si>
    <t>0261</t>
  </si>
  <si>
    <t>Tenafly Borough</t>
  </si>
  <si>
    <t>Tenafly Borough, Bergen County</t>
  </si>
  <si>
    <t>0262</t>
  </si>
  <si>
    <t>Teterboro Borough</t>
  </si>
  <si>
    <t>Teterboro Borough, Bergen County</t>
  </si>
  <si>
    <t>1024</t>
  </si>
  <si>
    <t>Tewksbury Township</t>
  </si>
  <si>
    <t>Tewksbury Township, Hunterdon County</t>
  </si>
  <si>
    <t>1336</t>
  </si>
  <si>
    <t>Tinton Falls Borough</t>
  </si>
  <si>
    <t>Tinton Falls Borough, Monmouth County</t>
  </si>
  <si>
    <t>1507</t>
  </si>
  <si>
    <t>Toms River Township</t>
  </si>
  <si>
    <t>Toms River Township, Ocean County</t>
  </si>
  <si>
    <t>1612</t>
  </si>
  <si>
    <t>Totowa Borough</t>
  </si>
  <si>
    <t>Totowa Borough, Passaic County</t>
  </si>
  <si>
    <t>1111</t>
  </si>
  <si>
    <t>Trenton City</t>
  </si>
  <si>
    <t>Trenton City, Mercer County</t>
  </si>
  <si>
    <t>1532</t>
  </si>
  <si>
    <t>Tuckerton Borough</t>
  </si>
  <si>
    <t>Tuckerton Borough, Ocean County</t>
  </si>
  <si>
    <t>1350</t>
  </si>
  <si>
    <t>Union Beach Borough</t>
  </si>
  <si>
    <t>Union Beach Borough, Monmouth County</t>
  </si>
  <si>
    <t>0910</t>
  </si>
  <si>
    <t>Union City City</t>
  </si>
  <si>
    <t>Union City City, Hudson County</t>
  </si>
  <si>
    <t>1025</t>
  </si>
  <si>
    <t>Union Township</t>
  </si>
  <si>
    <t>Union Township, Hunterdon County</t>
  </si>
  <si>
    <t>2019</t>
  </si>
  <si>
    <t>Union Township, Union County</t>
  </si>
  <si>
    <t>0613</t>
  </si>
  <si>
    <t>Upper Deerfield Township</t>
  </si>
  <si>
    <t>Upper Deerfield Township, Cumberland County</t>
  </si>
  <si>
    <t>1351</t>
  </si>
  <si>
    <t>Upper Freehold Township</t>
  </si>
  <si>
    <t>Upper Freehold Township, Monmouth County</t>
  </si>
  <si>
    <t>1714</t>
  </si>
  <si>
    <t>Upper Pittsgrove Township</t>
  </si>
  <si>
    <t>Upper Pittsgrove Township, Salem County</t>
  </si>
  <si>
    <t>0263</t>
  </si>
  <si>
    <t>Upper Saddle River Borough</t>
  </si>
  <si>
    <t>Upper Saddle River Borough, Bergen County</t>
  </si>
  <si>
    <t>0511</t>
  </si>
  <si>
    <t>Upper Township</t>
  </si>
  <si>
    <t>Upper Township, Cape May County</t>
  </si>
  <si>
    <t>0122</t>
  </si>
  <si>
    <t>Ventnor City</t>
  </si>
  <si>
    <t>Ventnor City, Atlantic County</t>
  </si>
  <si>
    <t>1922</t>
  </si>
  <si>
    <t>Vernon Township</t>
  </si>
  <si>
    <t>Vernon Township, Sussex County</t>
  </si>
  <si>
    <t>0720</t>
  </si>
  <si>
    <t>Verona Township</t>
  </si>
  <si>
    <t>Verona Township, Essex County</t>
  </si>
  <si>
    <t>1437</t>
  </si>
  <si>
    <t>Victory Gardens Borough</t>
  </si>
  <si>
    <t>Victory Gardens Borough, Morris County</t>
  </si>
  <si>
    <t>0614</t>
  </si>
  <si>
    <t>Vineland City</t>
  </si>
  <si>
    <t>Vineland City, Cumberland County</t>
  </si>
  <si>
    <t>0434</t>
  </si>
  <si>
    <t>Voorhees Township</t>
  </si>
  <si>
    <t>Voorhees Township, Camden County</t>
  </si>
  <si>
    <t>0264</t>
  </si>
  <si>
    <t>Waldwick Borough</t>
  </si>
  <si>
    <t>Waldwick Borough, Bergen County</t>
  </si>
  <si>
    <t>1352</t>
  </si>
  <si>
    <t>Wall Township</t>
  </si>
  <si>
    <t>Wall Township, Monmouth County</t>
  </si>
  <si>
    <t>0265</t>
  </si>
  <si>
    <t>Wallington Borough</t>
  </si>
  <si>
    <t>Wallington Borough, Bergen County</t>
  </si>
  <si>
    <t>1923</t>
  </si>
  <si>
    <t>Walpack Township</t>
  </si>
  <si>
    <t>Walpack Township, Sussex County</t>
  </si>
  <si>
    <t>1613</t>
  </si>
  <si>
    <t>Wanaque Borough</t>
  </si>
  <si>
    <t>Wanaque Borough, Passaic County</t>
  </si>
  <si>
    <t>1924</t>
  </si>
  <si>
    <t>Wantage Township</t>
  </si>
  <si>
    <t>Wantage Township, Sussex County</t>
  </si>
  <si>
    <t>1820</t>
  </si>
  <si>
    <t>Warren Township</t>
  </si>
  <si>
    <t>Warren Township, Somerset County</t>
  </si>
  <si>
    <t>2121</t>
  </si>
  <si>
    <t>Washington Borough</t>
  </si>
  <si>
    <t>Washington Borough, Warren County</t>
  </si>
  <si>
    <t>0266</t>
  </si>
  <si>
    <t>Washington Township</t>
  </si>
  <si>
    <t>Washington Township, Bergen County</t>
  </si>
  <si>
    <t>0336</t>
  </si>
  <si>
    <t>Washington Township, Burlington County</t>
  </si>
  <si>
    <t>0818</t>
  </si>
  <si>
    <t>Washington Township, Gloucester County</t>
  </si>
  <si>
    <t>1438</t>
  </si>
  <si>
    <t>Washington Township, Morris County</t>
  </si>
  <si>
    <t>2122</t>
  </si>
  <si>
    <t>Washington Township, Warren County</t>
  </si>
  <si>
    <t>1821</t>
  </si>
  <si>
    <t>Watchung Borough</t>
  </si>
  <si>
    <t>Watchung Borough, Somerset County</t>
  </si>
  <si>
    <t>0435</t>
  </si>
  <si>
    <t>Waterford Township</t>
  </si>
  <si>
    <t>Waterford Township, Camden County</t>
  </si>
  <si>
    <t>1614</t>
  </si>
  <si>
    <t>Wayne Township</t>
  </si>
  <si>
    <t>Wayne Township, Passaic County</t>
  </si>
  <si>
    <t>0911</t>
  </si>
  <si>
    <t>Weehawken Township</t>
  </si>
  <si>
    <t>Weehawken Township, Hudson County</t>
  </si>
  <si>
    <t>0819</t>
  </si>
  <si>
    <t>Wenonah Borough</t>
  </si>
  <si>
    <t>Wenonah Borough, Gloucester County</t>
  </si>
  <si>
    <t>1026</t>
  </si>
  <si>
    <t>West Amwell Township</t>
  </si>
  <si>
    <t>West Amwell Township, Hunterdon County</t>
  </si>
  <si>
    <t>0721</t>
  </si>
  <si>
    <t>West Caldwell Township</t>
  </si>
  <si>
    <t>West Caldwell Township, Essex County</t>
  </si>
  <si>
    <t>West Cape May Borough</t>
  </si>
  <si>
    <t>West Cape May Borough, Cape May County</t>
  </si>
  <si>
    <t>0820</t>
  </si>
  <si>
    <t>West Deptford Township</t>
  </si>
  <si>
    <t>West Deptford Township, Gloucester County</t>
  </si>
  <si>
    <t>1353</t>
  </si>
  <si>
    <t>West Long Branch Borough</t>
  </si>
  <si>
    <t>West Long Branch Borough, Monmouth County</t>
  </si>
  <si>
    <t>1615</t>
  </si>
  <si>
    <t>West Milford Township</t>
  </si>
  <si>
    <t>West Milford Township, Passaic County</t>
  </si>
  <si>
    <t>0912</t>
  </si>
  <si>
    <t>West New York Town</t>
  </si>
  <si>
    <t>West New York Town, Hudson County</t>
  </si>
  <si>
    <t>0722</t>
  </si>
  <si>
    <t>West Orange Township</t>
  </si>
  <si>
    <t>West Orange Township, Essex County</t>
  </si>
  <si>
    <t>0513</t>
  </si>
  <si>
    <t>West Wildwood Borough</t>
  </si>
  <si>
    <t>West Wildwood Borough, Cape May County</t>
  </si>
  <si>
    <t>1113</t>
  </si>
  <si>
    <t>West Windsor Township</t>
  </si>
  <si>
    <t>West Windsor Township, Mercer County</t>
  </si>
  <si>
    <t>0337</t>
  </si>
  <si>
    <t>Westampton Township</t>
  </si>
  <si>
    <t>Westampton Township, Burlington County</t>
  </si>
  <si>
    <t>2020</t>
  </si>
  <si>
    <t>Westfield Town</t>
  </si>
  <si>
    <t>Westfield Town, Union County</t>
  </si>
  <si>
    <t>0821</t>
  </si>
  <si>
    <t>Westville Borough</t>
  </si>
  <si>
    <t>Westville Borough, Gloucester County</t>
  </si>
  <si>
    <t>0267</t>
  </si>
  <si>
    <t>Westwood Borough</t>
  </si>
  <si>
    <t>Westwood Borough, Bergen County</t>
  </si>
  <si>
    <t>0123</t>
  </si>
  <si>
    <t>Weymouth Township</t>
  </si>
  <si>
    <t>Weymouth Township, Atlantic County</t>
  </si>
  <si>
    <t>1439</t>
  </si>
  <si>
    <t>Wharton Borough</t>
  </si>
  <si>
    <t>Wharton Borough, Morris County</t>
  </si>
  <si>
    <t>2123</t>
  </si>
  <si>
    <t>White Township</t>
  </si>
  <si>
    <t>White Township, Warren County</t>
  </si>
  <si>
    <t>0514</t>
  </si>
  <si>
    <t>Wildwood City</t>
  </si>
  <si>
    <t>Wildwood City, Cape May County</t>
  </si>
  <si>
    <t>0515</t>
  </si>
  <si>
    <t>Wildwood Crest Borough</t>
  </si>
  <si>
    <t>Wildwood Crest Borough, Cape May County</t>
  </si>
  <si>
    <t>0338</t>
  </si>
  <si>
    <t>Willingboro Township</t>
  </si>
  <si>
    <t>Willingboro Township, Burlington County</t>
  </si>
  <si>
    <t>2021</t>
  </si>
  <si>
    <t>Winfield Township</t>
  </si>
  <si>
    <t>Winfield Township, Union County</t>
  </si>
  <si>
    <t>0436</t>
  </si>
  <si>
    <t>Winslow Township</t>
  </si>
  <si>
    <t>Winslow Township, Camden County</t>
  </si>
  <si>
    <t>0516</t>
  </si>
  <si>
    <t>Woodbine Borough</t>
  </si>
  <si>
    <t>Woodbine Borough, Cape May County</t>
  </si>
  <si>
    <t>1225</t>
  </si>
  <si>
    <t>Woodbridge Township</t>
  </si>
  <si>
    <t>Woodbridge Township, Middlesex County</t>
  </si>
  <si>
    <t>0822</t>
  </si>
  <si>
    <t>Woodbury City</t>
  </si>
  <si>
    <t>Woodbury City, Gloucester County</t>
  </si>
  <si>
    <t>0823</t>
  </si>
  <si>
    <t>Woodbury Heights Borough</t>
  </si>
  <si>
    <t>Woodbury Heights Borough, Gloucester County</t>
  </si>
  <si>
    <t>0268</t>
  </si>
  <si>
    <t>Woodcliff Lake Borough</t>
  </si>
  <si>
    <t>Woodcliff Lake Borough, Bergen County</t>
  </si>
  <si>
    <t>1616</t>
  </si>
  <si>
    <t>Woodland Park Borough</t>
  </si>
  <si>
    <t>Woodland Park Borough, Passaic County</t>
  </si>
  <si>
    <t>0339</t>
  </si>
  <si>
    <t>Woodland Township</t>
  </si>
  <si>
    <t>Woodland Township, Burlington County</t>
  </si>
  <si>
    <t>0437</t>
  </si>
  <si>
    <t>Woodlynne Borough</t>
  </si>
  <si>
    <t>Woodlynne Borough, Camden County</t>
  </si>
  <si>
    <t>0269</t>
  </si>
  <si>
    <t>Wood-Ridge Borough</t>
  </si>
  <si>
    <t>Wood-Ridge Borough, Bergen County</t>
  </si>
  <si>
    <t>1715</t>
  </si>
  <si>
    <t>Woodstown Borough</t>
  </si>
  <si>
    <t>Woodstown Borough, Salem County</t>
  </si>
  <si>
    <t>0824</t>
  </si>
  <si>
    <t>Woolwich Township</t>
  </si>
  <si>
    <t>Woolwich Township, Gloucester County</t>
  </si>
  <si>
    <t>0340</t>
  </si>
  <si>
    <t>Wrightstown Borough</t>
  </si>
  <si>
    <t>Wrightstown Borough, Burlington County</t>
  </si>
  <si>
    <t>0270</t>
  </si>
  <si>
    <t>Wyckoff Township</t>
  </si>
  <si>
    <t>Wyckoff Township, Bergen County</t>
  </si>
  <si>
    <t>Town Name</t>
  </si>
  <si>
    <t>Town</t>
  </si>
  <si>
    <t>Type of Government</t>
  </si>
  <si>
    <t>Muniname</t>
  </si>
  <si>
    <t>Allendale</t>
  </si>
  <si>
    <t>Allenhurst</t>
  </si>
  <si>
    <t>Allentown</t>
  </si>
  <si>
    <t>Alpha</t>
  </si>
  <si>
    <t>Alpine</t>
  </si>
  <si>
    <t>Andover</t>
  </si>
  <si>
    <t>Atlantic Highlands</t>
  </si>
  <si>
    <t>Audubon</t>
  </si>
  <si>
    <t>Audubon Park</t>
  </si>
  <si>
    <t>Avalon</t>
  </si>
  <si>
    <t>Avon-by-the-Sea</t>
  </si>
  <si>
    <t>Barnegat Light</t>
  </si>
  <si>
    <t>Barrington</t>
  </si>
  <si>
    <t>Bay Head</t>
  </si>
  <si>
    <t>Beach Haven</t>
  </si>
  <si>
    <t>Beachwood</t>
  </si>
  <si>
    <t>Bellmawr</t>
  </si>
  <si>
    <t>Belmar</t>
  </si>
  <si>
    <t>Bergenfield</t>
  </si>
  <si>
    <t>Berlin</t>
  </si>
  <si>
    <t>Bernardsville</t>
  </si>
  <si>
    <t>Bloomingdale</t>
  </si>
  <si>
    <t>Bloomsbury</t>
  </si>
  <si>
    <t>Bogota</t>
  </si>
  <si>
    <t>Bound Brook</t>
  </si>
  <si>
    <t>Bradley Beach</t>
  </si>
  <si>
    <t>Branchville</t>
  </si>
  <si>
    <t>Brielle</t>
  </si>
  <si>
    <t>Brooklawn</t>
  </si>
  <si>
    <t>Buena</t>
  </si>
  <si>
    <t>Butler</t>
  </si>
  <si>
    <t>Califon</t>
  </si>
  <si>
    <t>Cape May Point</t>
  </si>
  <si>
    <t>Carlstadt</t>
  </si>
  <si>
    <t>Carteret</t>
  </si>
  <si>
    <t>Chatham</t>
  </si>
  <si>
    <t>Chesilhurst</t>
  </si>
  <si>
    <t>Chester</t>
  </si>
  <si>
    <t>Clayton</t>
  </si>
  <si>
    <t>Clementon</t>
  </si>
  <si>
    <t>Cliffside Park</t>
  </si>
  <si>
    <t>Closter</t>
  </si>
  <si>
    <t>Collingswood</t>
  </si>
  <si>
    <t>Cresskill</t>
  </si>
  <si>
    <t>Deal</t>
  </si>
  <si>
    <t>Demarest</t>
  </si>
  <si>
    <t>Dumont</t>
  </si>
  <si>
    <t>Dunellen</t>
  </si>
  <si>
    <t>East Newark</t>
  </si>
  <si>
    <t>East Rutherford</t>
  </si>
  <si>
    <t>Eatontown</t>
  </si>
  <si>
    <t>Edgewater</t>
  </si>
  <si>
    <t>Elmer</t>
  </si>
  <si>
    <t>Elmwood Park</t>
  </si>
  <si>
    <t>Emerson</t>
  </si>
  <si>
    <t>Englewood Cliffs</t>
  </si>
  <si>
    <t>Englishtown</t>
  </si>
  <si>
    <t>Fair Haven</t>
  </si>
  <si>
    <t>Fair Lawn</t>
  </si>
  <si>
    <t>Fairview</t>
  </si>
  <si>
    <t>Fanwood</t>
  </si>
  <si>
    <t>Far Hills</t>
  </si>
  <si>
    <t>Farmingdale</t>
  </si>
  <si>
    <t>Fieldsboro</t>
  </si>
  <si>
    <t>Flemington</t>
  </si>
  <si>
    <t>Florham Park</t>
  </si>
  <si>
    <t>Folsom</t>
  </si>
  <si>
    <t>Fort Lee</t>
  </si>
  <si>
    <t>Franklin</t>
  </si>
  <si>
    <t>Franklin Lakes</t>
  </si>
  <si>
    <t>Freehold</t>
  </si>
  <si>
    <t>Frenchtown</t>
  </si>
  <si>
    <t>Garwood</t>
  </si>
  <si>
    <t>Gibbsboro</t>
  </si>
  <si>
    <t>Glassboro</t>
  </si>
  <si>
    <t>Glen Gardner</t>
  </si>
  <si>
    <t>Glen Ridge</t>
  </si>
  <si>
    <t>Glen Rock</t>
  </si>
  <si>
    <t>Haddon Heights</t>
  </si>
  <si>
    <t>Haddonfield</t>
  </si>
  <si>
    <t>Haledon</t>
  </si>
  <si>
    <t>Hamburg</t>
  </si>
  <si>
    <t>Hampton</t>
  </si>
  <si>
    <t>Harrington Park</t>
  </si>
  <si>
    <t>Harvey Cedars</t>
  </si>
  <si>
    <t>Hasbrouck Heights</t>
  </si>
  <si>
    <t>Haworth</t>
  </si>
  <si>
    <t>Hawthorne</t>
  </si>
  <si>
    <t>Helmetta</t>
  </si>
  <si>
    <t>High Bridge</t>
  </si>
  <si>
    <t>Highland Park</t>
  </si>
  <si>
    <t>Highlands</t>
  </si>
  <si>
    <t>Hightstown</t>
  </si>
  <si>
    <t>Hillsdale</t>
  </si>
  <si>
    <t>Hi-nella</t>
  </si>
  <si>
    <t>Ho-Ho-Kus</t>
  </si>
  <si>
    <t>Hopatcong</t>
  </si>
  <si>
    <t>Hopewell</t>
  </si>
  <si>
    <t>Interlaken</t>
  </si>
  <si>
    <t>Island Heights</t>
  </si>
  <si>
    <t>Jamesburg</t>
  </si>
  <si>
    <t>Keansburg</t>
  </si>
  <si>
    <t>Kenilworth</t>
  </si>
  <si>
    <t>Keyport</t>
  </si>
  <si>
    <t>Kinnelon</t>
  </si>
  <si>
    <t>Lakehurst</t>
  </si>
  <si>
    <t>Laurel Springs</t>
  </si>
  <si>
    <t>Lavallette</t>
  </si>
  <si>
    <t>Lawnside</t>
  </si>
  <si>
    <t>Lebanon</t>
  </si>
  <si>
    <t>Leonia</t>
  </si>
  <si>
    <t>Lincoln Park</t>
  </si>
  <si>
    <t>Lindenwold</t>
  </si>
  <si>
    <t>Little Ferry</t>
  </si>
  <si>
    <t>Little Silver</t>
  </si>
  <si>
    <t>Lodi</t>
  </si>
  <si>
    <t>Longport</t>
  </si>
  <si>
    <t>Madison</t>
  </si>
  <si>
    <t>Magnolia</t>
  </si>
  <si>
    <t>Manasquan</t>
  </si>
  <si>
    <t>Mantoloking</t>
  </si>
  <si>
    <t>Manville</t>
  </si>
  <si>
    <t>Matawan</t>
  </si>
  <si>
    <t>Maywood</t>
  </si>
  <si>
    <t>Medford Lakes</t>
  </si>
  <si>
    <t>Mendham</t>
  </si>
  <si>
    <t>Merchantville</t>
  </si>
  <si>
    <t>Metuchen</t>
  </si>
  <si>
    <t>Midland Park</t>
  </si>
  <si>
    <t>Milford</t>
  </si>
  <si>
    <t>Millstone</t>
  </si>
  <si>
    <t>Milltown</t>
  </si>
  <si>
    <t>Monmouth Beach</t>
  </si>
  <si>
    <t>Montvale</t>
  </si>
  <si>
    <t>Moonachie</t>
  </si>
  <si>
    <t>Morris Plains</t>
  </si>
  <si>
    <t>Mount Arlington</t>
  </si>
  <si>
    <t>Mount Ephraim</t>
  </si>
  <si>
    <t>Mountain Lakes</t>
  </si>
  <si>
    <t>Mountainside</t>
  </si>
  <si>
    <t>National Park</t>
  </si>
  <si>
    <t>Neptune City</t>
  </si>
  <si>
    <t>Netcong</t>
  </si>
  <si>
    <t>New Milford</t>
  </si>
  <si>
    <t>New Providence</t>
  </si>
  <si>
    <t>Newfield</t>
  </si>
  <si>
    <t>North Arlington</t>
  </si>
  <si>
    <t>North Caldwell</t>
  </si>
  <si>
    <t>North Haledon</t>
  </si>
  <si>
    <t>North Plainfield</t>
  </si>
  <si>
    <t>Northvale</t>
  </si>
  <si>
    <t>Norwood</t>
  </si>
  <si>
    <t>Oakland</t>
  </si>
  <si>
    <t>Oaklyn</t>
  </si>
  <si>
    <t>Ocean Gate</t>
  </si>
  <si>
    <t>Oceanport</t>
  </si>
  <si>
    <t>Ogdensburg</t>
  </si>
  <si>
    <t>Old Tappan</t>
  </si>
  <si>
    <t>Oradell</t>
  </si>
  <si>
    <t>Palisades Park</t>
  </si>
  <si>
    <t>Palmyra</t>
  </si>
  <si>
    <t>Paramus</t>
  </si>
  <si>
    <t>Park Ridge</t>
  </si>
  <si>
    <t>Paulsboro</t>
  </si>
  <si>
    <t>Peapack-Gladstone</t>
  </si>
  <si>
    <t>Pemberton</t>
  </si>
  <si>
    <t>Pennington</t>
  </si>
  <si>
    <t>Penns Grove</t>
  </si>
  <si>
    <t>Pine Beach</t>
  </si>
  <si>
    <t>Pine Hill</t>
  </si>
  <si>
    <t>Pine Valley</t>
  </si>
  <si>
    <t>Pitman</t>
  </si>
  <si>
    <t>Point Pleasant Beach</t>
  </si>
  <si>
    <t>Point Pleasant</t>
  </si>
  <si>
    <t>Pompton Lakes</t>
  </si>
  <si>
    <t>Prospect Park</t>
  </si>
  <si>
    <t>Ramsey</t>
  </si>
  <si>
    <t>Raritan</t>
  </si>
  <si>
    <t>Red Bank</t>
  </si>
  <si>
    <t>Ridgefield</t>
  </si>
  <si>
    <t>Ringwood</t>
  </si>
  <si>
    <t>River Edge</t>
  </si>
  <si>
    <t>Riverdale</t>
  </si>
  <si>
    <t>Riverton</t>
  </si>
  <si>
    <t>Rockaway</t>
  </si>
  <si>
    <t>Rockleigh</t>
  </si>
  <si>
    <t>Rocky Hill</t>
  </si>
  <si>
    <t>Roosevelt</t>
  </si>
  <si>
    <t>Roseland</t>
  </si>
  <si>
    <t>Roselle</t>
  </si>
  <si>
    <t>Roselle Park</t>
  </si>
  <si>
    <t>Rumson</t>
  </si>
  <si>
    <t>Runnemede</t>
  </si>
  <si>
    <t>Rutherford</t>
  </si>
  <si>
    <t>Saddle River</t>
  </si>
  <si>
    <t>Sayreville</t>
  </si>
  <si>
    <t>Sea Bright</t>
  </si>
  <si>
    <t>Sea Girt</t>
  </si>
  <si>
    <t>Seaside Heights</t>
  </si>
  <si>
    <t>Seaside Park</t>
  </si>
  <si>
    <t>Shiloh</t>
  </si>
  <si>
    <t>Ship Bottom</t>
  </si>
  <si>
    <t>Shrewsbury</t>
  </si>
  <si>
    <t>Somerdale</t>
  </si>
  <si>
    <t>Somerville</t>
  </si>
  <si>
    <t>South Bound Brook</t>
  </si>
  <si>
    <t>South Plainfield</t>
  </si>
  <si>
    <t>South River</t>
  </si>
  <si>
    <t>South Toms River</t>
  </si>
  <si>
    <t>Spotswood</t>
  </si>
  <si>
    <t>Spring Lake</t>
  </si>
  <si>
    <t>Spring Lake Heights</t>
  </si>
  <si>
    <t>Stanhope</t>
  </si>
  <si>
    <t>Stockton</t>
  </si>
  <si>
    <t>Stone Harbor</t>
  </si>
  <si>
    <t>Stratford</t>
  </si>
  <si>
    <t>Surf City</t>
  </si>
  <si>
    <t>Swedesboro</t>
  </si>
  <si>
    <t>Tavistock</t>
  </si>
  <si>
    <t>Tenafly</t>
  </si>
  <si>
    <t>Teterboro</t>
  </si>
  <si>
    <t>Tinton Falls</t>
  </si>
  <si>
    <t>Totowa</t>
  </si>
  <si>
    <t>Tuckerton</t>
  </si>
  <si>
    <t>Union Beach</t>
  </si>
  <si>
    <t>Upper Saddle River</t>
  </si>
  <si>
    <t>Victory Gardens</t>
  </si>
  <si>
    <t>Waldwick</t>
  </si>
  <si>
    <t>Wallington</t>
  </si>
  <si>
    <t>Wanaque</t>
  </si>
  <si>
    <t>Washington</t>
  </si>
  <si>
    <t>Watchung</t>
  </si>
  <si>
    <t>Wenonah</t>
  </si>
  <si>
    <t>West Cape May</t>
  </si>
  <si>
    <t>West Long Branch</t>
  </si>
  <si>
    <t>West Wildwood</t>
  </si>
  <si>
    <t>Westville</t>
  </si>
  <si>
    <t>Westwood</t>
  </si>
  <si>
    <t>Wharton</t>
  </si>
  <si>
    <t>Wildwood Crest</t>
  </si>
  <si>
    <t>Woodbine</t>
  </si>
  <si>
    <t>Woodbury Heights</t>
  </si>
  <si>
    <t>Woodcliff Lake</t>
  </si>
  <si>
    <t>Woodland Park</t>
  </si>
  <si>
    <t>Woodlynne</t>
  </si>
  <si>
    <t>Wood-Ridge</t>
  </si>
  <si>
    <t>Woodstown</t>
  </si>
  <si>
    <t>Wrightstown</t>
  </si>
  <si>
    <t>Aberdeen</t>
  </si>
  <si>
    <t>Alloway</t>
  </si>
  <si>
    <t>Barnegat</t>
  </si>
  <si>
    <t>Bass River</t>
  </si>
  <si>
    <t>Bedminster</t>
  </si>
  <si>
    <t>Belleville</t>
  </si>
  <si>
    <t>Berkeley Heights</t>
  </si>
  <si>
    <t>Berkeley</t>
  </si>
  <si>
    <t>Bernards</t>
  </si>
  <si>
    <t>Bethlehem</t>
  </si>
  <si>
    <t>Blairstown</t>
  </si>
  <si>
    <t>Bloomfield</t>
  </si>
  <si>
    <t>Boonton</t>
  </si>
  <si>
    <t>Bordentown</t>
  </si>
  <si>
    <t>Branchburg</t>
  </si>
  <si>
    <t>Brick</t>
  </si>
  <si>
    <t>Bridgewater</t>
  </si>
  <si>
    <t>Buena Vista</t>
  </si>
  <si>
    <t>Byram</t>
  </si>
  <si>
    <t>Caldwell</t>
  </si>
  <si>
    <t>Carneys Point</t>
  </si>
  <si>
    <t>Cedar Grove</t>
  </si>
  <si>
    <t>Cherry Hill</t>
  </si>
  <si>
    <t>Chesterfield</t>
  </si>
  <si>
    <t>Cinnaminson</t>
  </si>
  <si>
    <t>Clark</t>
  </si>
  <si>
    <t>Clinton</t>
  </si>
  <si>
    <t>Colts Neck</t>
  </si>
  <si>
    <t>Commercial</t>
  </si>
  <si>
    <t>Cranbury</t>
  </si>
  <si>
    <t>Cranford</t>
  </si>
  <si>
    <t>Deerfield</t>
  </si>
  <si>
    <t>Delanco</t>
  </si>
  <si>
    <t>Delaware</t>
  </si>
  <si>
    <t>Delran</t>
  </si>
  <si>
    <t>Dennis</t>
  </si>
  <si>
    <t>Denville</t>
  </si>
  <si>
    <t>Deptford</t>
  </si>
  <si>
    <t>Downe</t>
  </si>
  <si>
    <t>Eagleswood</t>
  </si>
  <si>
    <t>East Amwell</t>
  </si>
  <si>
    <t>East Brunswick</t>
  </si>
  <si>
    <t>East Greenwich</t>
  </si>
  <si>
    <t>East Hanover</t>
  </si>
  <si>
    <t>East Windsor</t>
  </si>
  <si>
    <t>Eastampton</t>
  </si>
  <si>
    <t>Edgewater Park</t>
  </si>
  <si>
    <t>Edison</t>
  </si>
  <si>
    <t>Egg Harbor</t>
  </si>
  <si>
    <t>Elk</t>
  </si>
  <si>
    <t>Elsinboro</t>
  </si>
  <si>
    <t>Essex Fells</t>
  </si>
  <si>
    <t>Evesham</t>
  </si>
  <si>
    <t>Ewing</t>
  </si>
  <si>
    <t>Fairfield</t>
  </si>
  <si>
    <t>Florence</t>
  </si>
  <si>
    <t>Frankford</t>
  </si>
  <si>
    <t>Fredon</t>
  </si>
  <si>
    <t>Frelinghuysen</t>
  </si>
  <si>
    <t>Galloway</t>
  </si>
  <si>
    <t>Green Brook</t>
  </si>
  <si>
    <t>Green</t>
  </si>
  <si>
    <t>Greenwich</t>
  </si>
  <si>
    <t>Haddon</t>
  </si>
  <si>
    <t>Hainesport</t>
  </si>
  <si>
    <t>Hamilton</t>
  </si>
  <si>
    <t>Hammonton</t>
  </si>
  <si>
    <t>Hanover</t>
  </si>
  <si>
    <t>Harding</t>
  </si>
  <si>
    <t>Hardwick</t>
  </si>
  <si>
    <t>Hardyston</t>
  </si>
  <si>
    <t>Harmony</t>
  </si>
  <si>
    <t>Harrison</t>
  </si>
  <si>
    <t>Hazlet</t>
  </si>
  <si>
    <t>Hillsborough</t>
  </si>
  <si>
    <t>Hillside</t>
  </si>
  <si>
    <t>Holland</t>
  </si>
  <si>
    <t>Holmdel</t>
  </si>
  <si>
    <t>Hope</t>
  </si>
  <si>
    <t>Howell</t>
  </si>
  <si>
    <t>Independence</t>
  </si>
  <si>
    <t>Irvington</t>
  </si>
  <si>
    <t>Jackson</t>
  </si>
  <si>
    <t>Jefferson</t>
  </si>
  <si>
    <t>Kingwood</t>
  </si>
  <si>
    <t>Knowlton</t>
  </si>
  <si>
    <t>Lacey</t>
  </si>
  <si>
    <t>Lafayette</t>
  </si>
  <si>
    <t>Lakewood</t>
  </si>
  <si>
    <t>Lawrence</t>
  </si>
  <si>
    <t>Liberty</t>
  </si>
  <si>
    <t>Little Egg Harbor</t>
  </si>
  <si>
    <t>Little Falls</t>
  </si>
  <si>
    <t>Livingston</t>
  </si>
  <si>
    <t>Logan</t>
  </si>
  <si>
    <t>Long Beach</t>
  </si>
  <si>
    <t>Long Hill</t>
  </si>
  <si>
    <t>Lopatcong</t>
  </si>
  <si>
    <t>Lower Alloways Creek</t>
  </si>
  <si>
    <t>Lower</t>
  </si>
  <si>
    <t>Lumberton</t>
  </si>
  <si>
    <t>Lyndhurst</t>
  </si>
  <si>
    <t>Mahwah</t>
  </si>
  <si>
    <t>Manalapan</t>
  </si>
  <si>
    <t>Manchester</t>
  </si>
  <si>
    <t>Mannington</t>
  </si>
  <si>
    <t>Mansfield</t>
  </si>
  <si>
    <t>Mantua</t>
  </si>
  <si>
    <t>Maple Shade</t>
  </si>
  <si>
    <t>Maplewood</t>
  </si>
  <si>
    <t>Marlboro</t>
  </si>
  <si>
    <t>Maurice River</t>
  </si>
  <si>
    <t>Medford</t>
  </si>
  <si>
    <t>Middle</t>
  </si>
  <si>
    <t>Middletown</t>
  </si>
  <si>
    <t>Millburn</t>
  </si>
  <si>
    <t>Mine Hill</t>
  </si>
  <si>
    <t>Monroe</t>
  </si>
  <si>
    <t>Montague</t>
  </si>
  <si>
    <t>Montclair</t>
  </si>
  <si>
    <t>Montgomery</t>
  </si>
  <si>
    <t>Montville</t>
  </si>
  <si>
    <t>Moorestown</t>
  </si>
  <si>
    <t>Mount Holly</t>
  </si>
  <si>
    <t>Mount Laurel</t>
  </si>
  <si>
    <t>Mount Olive</t>
  </si>
  <si>
    <t>Mullica</t>
  </si>
  <si>
    <t>Neptune</t>
  </si>
  <si>
    <t>New Hanover</t>
  </si>
  <si>
    <t>North Bergen</t>
  </si>
  <si>
    <t>North Brunswick</t>
  </si>
  <si>
    <t>North Hanover</t>
  </si>
  <si>
    <t>Nutley</t>
  </si>
  <si>
    <t>Old Bridge</t>
  </si>
  <si>
    <t>Oldmans</t>
  </si>
  <si>
    <t>Oxford</t>
  </si>
  <si>
    <t>Parsippany-Troy Hills</t>
  </si>
  <si>
    <t>Pennsauken</t>
  </si>
  <si>
    <t>Pennsville</t>
  </si>
  <si>
    <t>Pequannock</t>
  </si>
  <si>
    <t>Pilesgrove</t>
  </si>
  <si>
    <t>Piscataway</t>
  </si>
  <si>
    <t>Pittsgrove</t>
  </si>
  <si>
    <t>Plainsboro</t>
  </si>
  <si>
    <t>Plumsted</t>
  </si>
  <si>
    <t>Pohatcong</t>
  </si>
  <si>
    <t>Quinton</t>
  </si>
  <si>
    <t>Randolph</t>
  </si>
  <si>
    <t>Readington</t>
  </si>
  <si>
    <t>River Vale</t>
  </si>
  <si>
    <t>Riverside</t>
  </si>
  <si>
    <t>Robbinsville</t>
  </si>
  <si>
    <t>Rochelle Park</t>
  </si>
  <si>
    <t>Roxbury</t>
  </si>
  <si>
    <t>Saddle Brook</t>
  </si>
  <si>
    <t>Sandyston</t>
  </si>
  <si>
    <t>Scotch Plains</t>
  </si>
  <si>
    <t>Shamong</t>
  </si>
  <si>
    <t>South Brunswick</t>
  </si>
  <si>
    <t>South Hackensack</t>
  </si>
  <si>
    <t>South Harrison</t>
  </si>
  <si>
    <t>Southampton</t>
  </si>
  <si>
    <t>Sparta</t>
  </si>
  <si>
    <t>Springfield</t>
  </si>
  <si>
    <t>Stafford</t>
  </si>
  <si>
    <t>Stillwater</t>
  </si>
  <si>
    <t>Stow Creek</t>
  </si>
  <si>
    <t>Tabernacle</t>
  </si>
  <si>
    <t>Teaneck</t>
  </si>
  <si>
    <t>Tewksbury</t>
  </si>
  <si>
    <t>Toms River</t>
  </si>
  <si>
    <t>Upper Deerfield</t>
  </si>
  <si>
    <t>Upper Freehold</t>
  </si>
  <si>
    <t>Upper Pittsgrove</t>
  </si>
  <si>
    <t>Upper</t>
  </si>
  <si>
    <t>Vernon</t>
  </si>
  <si>
    <t>Verona</t>
  </si>
  <si>
    <t>Voorhees</t>
  </si>
  <si>
    <t>Wall</t>
  </si>
  <si>
    <t>Walpack</t>
  </si>
  <si>
    <t>Wantage</t>
  </si>
  <si>
    <t>Waterford</t>
  </si>
  <si>
    <t>Wayne</t>
  </si>
  <si>
    <t>Weehawken</t>
  </si>
  <si>
    <t>West Amwell</t>
  </si>
  <si>
    <t>West Caldwell</t>
  </si>
  <si>
    <t>West Deptford</t>
  </si>
  <si>
    <t>West Milford</t>
  </si>
  <si>
    <t>West Orange</t>
  </si>
  <si>
    <t>West Windsor</t>
  </si>
  <si>
    <t>Westampton</t>
  </si>
  <si>
    <t>Weymouth</t>
  </si>
  <si>
    <t>White</t>
  </si>
  <si>
    <t>Willingboro</t>
  </si>
  <si>
    <t>Winfield</t>
  </si>
  <si>
    <t>Winslow</t>
  </si>
  <si>
    <t>Woodbridge</t>
  </si>
  <si>
    <t>Woodland</t>
  </si>
  <si>
    <t>Woolwich</t>
  </si>
  <si>
    <t>Wyckoff</t>
  </si>
  <si>
    <t>Absecon</t>
  </si>
  <si>
    <t>Asbury Park</t>
  </si>
  <si>
    <t>Bayonne</t>
  </si>
  <si>
    <t>Beverly</t>
  </si>
  <si>
    <t>Bridgeton</t>
  </si>
  <si>
    <t>Brigantine</t>
  </si>
  <si>
    <t>Clifton</t>
  </si>
  <si>
    <t>East Orange</t>
  </si>
  <si>
    <t>Elizabeth</t>
  </si>
  <si>
    <t>Englewood</t>
  </si>
  <si>
    <t>Estell Manor</t>
  </si>
  <si>
    <t>Garfield</t>
  </si>
  <si>
    <t>Hackensack</t>
  </si>
  <si>
    <t>Hoboken</t>
  </si>
  <si>
    <t>Lambertville</t>
  </si>
  <si>
    <t>Linden</t>
  </si>
  <si>
    <t>Linwood</t>
  </si>
  <si>
    <t>Long Branch</t>
  </si>
  <si>
    <t>Millville</t>
  </si>
  <si>
    <t>New Brunswick</t>
  </si>
  <si>
    <t>Newark</t>
  </si>
  <si>
    <t>North Wildwood</t>
  </si>
  <si>
    <t>Northfield</t>
  </si>
  <si>
    <t>Orange</t>
  </si>
  <si>
    <t>Paterson</t>
  </si>
  <si>
    <t>Perth Amboy</t>
  </si>
  <si>
    <t>Plainfield</t>
  </si>
  <si>
    <t>Pleasantville</t>
  </si>
  <si>
    <t>Port Republic</t>
  </si>
  <si>
    <t>Rahway</t>
  </si>
  <si>
    <t>Somers Point</t>
  </si>
  <si>
    <t>South Amboy</t>
  </si>
  <si>
    <t>Summit</t>
  </si>
  <si>
    <t>Surf</t>
  </si>
  <si>
    <t>Trenton</t>
  </si>
  <si>
    <t>Vineland</t>
  </si>
  <si>
    <t>Wildwood</t>
  </si>
  <si>
    <t>Woodbury</t>
  </si>
  <si>
    <t>City of Orange</t>
  </si>
  <si>
    <t>Belvidere</t>
  </si>
  <si>
    <t>Dover</t>
  </si>
  <si>
    <t>Guttenberg</t>
  </si>
  <si>
    <t>Hackettstown</t>
  </si>
  <si>
    <t>Kearny</t>
  </si>
  <si>
    <t>Morristown</t>
  </si>
  <si>
    <t>Newton</t>
  </si>
  <si>
    <t>Phillipsburg</t>
  </si>
  <si>
    <t>Secaucus</t>
  </si>
  <si>
    <t>West New York</t>
  </si>
  <si>
    <t>Westfield</t>
  </si>
  <si>
    <t>Atlantic City</t>
  </si>
  <si>
    <t>Gloucester City</t>
  </si>
  <si>
    <t>Jersey City</t>
  </si>
  <si>
    <t>Ocean City</t>
  </si>
  <si>
    <t>Union City</t>
  </si>
  <si>
    <t>Township</t>
  </si>
  <si>
    <t>Borough</t>
  </si>
  <si>
    <t>City</t>
  </si>
  <si>
    <t>Village</t>
  </si>
  <si>
    <t>Loch Arbour</t>
  </si>
  <si>
    <t>Ridgefield Park</t>
  </si>
  <si>
    <t>Ridgewood</t>
  </si>
  <si>
    <t>1001</t>
  </si>
  <si>
    <t>2101</t>
  </si>
  <si>
    <t>Alexandria Township</t>
  </si>
  <si>
    <t>Allamuchy Township</t>
  </si>
  <si>
    <t>Alexandria</t>
  </si>
  <si>
    <t>Allamuchy</t>
  </si>
  <si>
    <t>Muncode</t>
  </si>
  <si>
    <t>Lake Como</t>
  </si>
  <si>
    <t>Lake Como Borough</t>
  </si>
  <si>
    <t>Lake Como Borough, Monmouth County</t>
  </si>
  <si>
    <t>Mayor-6 Council Members</t>
  </si>
  <si>
    <t>Mayor-7 Council Members</t>
  </si>
  <si>
    <t>3 Committee Members</t>
  </si>
  <si>
    <t>Mayor-4 Council Members</t>
  </si>
  <si>
    <t>3 Commissioners</t>
  </si>
  <si>
    <t>5 Committee Members</t>
  </si>
  <si>
    <t>5 Council Members</t>
  </si>
  <si>
    <t>Mayor-9 Council Members</t>
  </si>
  <si>
    <t>Mayor-5 Council Members</t>
  </si>
  <si>
    <t>7 Council Members</t>
  </si>
  <si>
    <t>Mayor-8 Alder Persons</t>
  </si>
  <si>
    <t>Mayor-3 Council Members</t>
  </si>
  <si>
    <t>Mayor-10 Council Members</t>
  </si>
  <si>
    <t>Mayor-8 Council Members</t>
  </si>
  <si>
    <t>Mayor-11 Council Members</t>
  </si>
  <si>
    <t>5 Commissioners</t>
  </si>
  <si>
    <t>3 Council Members</t>
  </si>
  <si>
    <t>President -6 Trustees</t>
  </si>
  <si>
    <t>Mayor-8 Committee Members</t>
  </si>
  <si>
    <t>Council Members</t>
  </si>
  <si>
    <t>Committeepersons</t>
  </si>
  <si>
    <t>Commissioners</t>
  </si>
  <si>
    <t>Alderpersons</t>
  </si>
  <si>
    <t>Trustees</t>
  </si>
  <si>
    <t>Governing Body Members</t>
  </si>
  <si>
    <t>2010 Census Population</t>
  </si>
  <si>
    <t>Sheet  41</t>
  </si>
  <si>
    <t xml:space="preserve"> </t>
  </si>
  <si>
    <t>Subtotal - Cash Liabilities</t>
  </si>
  <si>
    <t>Accrued Interest on Bonds and Notes</t>
  </si>
  <si>
    <t>Encumbrances Payable</t>
  </si>
  <si>
    <t>Appropriation Reserves</t>
  </si>
  <si>
    <t>Sheet  41a</t>
  </si>
  <si>
    <t>CONTRACTS PAYABLE</t>
  </si>
  <si>
    <t>BOND ANTICIPATION NOTES</t>
  </si>
  <si>
    <t>BONDS PAYABLE</t>
  </si>
  <si>
    <t>Sheet  42</t>
  </si>
  <si>
    <t>Sheet  43</t>
  </si>
  <si>
    <t>Sheet  44</t>
  </si>
  <si>
    <t>"Overexpenditures" must equal the sum of "Total Expenditures" and "Unexpended Balances Canceled"</t>
  </si>
  <si>
    <t>Are not to be shown as "Paid or Charged" in the budget document.  In all instances "Total Appropriations" and</t>
  </si>
  <si>
    <t>this item.</t>
  </si>
  <si>
    <t>Every appropriation overexpended in the budget document must be marked with an * and must agree in aggregate with</t>
  </si>
  <si>
    <t>FOOTNOTES: - RE: OVEREXPENDITURES:</t>
  </si>
  <si>
    <t>agree with amounts shown for such items on Sheet 45.</t>
  </si>
  <si>
    <t>** Amount in "Received in Cash" column for "Deficit (General Budget)" and amount expended for "Surplus (General Budget)" must</t>
  </si>
  <si>
    <t>91307-</t>
  </si>
  <si>
    <t>91306-</t>
  </si>
  <si>
    <t>Deficit (General Budget) **</t>
  </si>
  <si>
    <t>Capital Fund Balance</t>
  </si>
  <si>
    <t>Reserve for Debt Service</t>
  </si>
  <si>
    <t>91302-</t>
  </si>
  <si>
    <t>Operating Surplus Anticipated with Consent of</t>
  </si>
  <si>
    <t>91301-</t>
  </si>
  <si>
    <t>Operating Surplus Anticipated</t>
  </si>
  <si>
    <t>Sheet  45</t>
  </si>
  <si>
    <r>
      <t>**</t>
    </r>
    <r>
      <rPr>
        <sz val="8"/>
        <rFont val="Arial"/>
        <family val="2"/>
      </rPr>
      <t xml:space="preserve"> Items must be shown in same amounts on Sheet 44.</t>
    </r>
  </si>
  <si>
    <t>("Operating Deficit - to Trial Balance" - Sheet 46)</t>
  </si>
  <si>
    <r>
      <t>Section 2 should be filled out in every case</t>
    </r>
    <r>
      <rPr>
        <sz val="10"/>
        <rFont val="Arial"/>
        <family val="2"/>
      </rPr>
      <t>.</t>
    </r>
  </si>
  <si>
    <t>Sheet  46</t>
  </si>
  <si>
    <t>"other Assets" would be also pledged to cash liabilities.</t>
  </si>
  <si>
    <r>
      <t xml:space="preserve">* See </t>
    </r>
    <r>
      <rPr>
        <u/>
        <sz val="8"/>
        <rFont val="Arial"/>
        <family val="2"/>
      </rPr>
      <t>restriction</t>
    </r>
    <r>
      <rPr>
        <sz val="8"/>
        <rFont val="Arial"/>
        <family val="2"/>
      </rPr>
      <t xml:space="preserve"> in amount on Sheet 45, SECTION 2</t>
    </r>
  </si>
  <si>
    <t>Deficit in Anticipated Revenues</t>
  </si>
  <si>
    <t>Sheet  47</t>
  </si>
  <si>
    <t>Sheet  48</t>
  </si>
  <si>
    <t>Sheet  49</t>
  </si>
  <si>
    <t>Sheet  49a</t>
  </si>
  <si>
    <t>Sheet  50</t>
  </si>
  <si>
    <t>Sheet  51</t>
  </si>
  <si>
    <t>Sheet  51a</t>
  </si>
  <si>
    <t>For Prinicpal</t>
  </si>
  <si>
    <t>Sheet  52</t>
  </si>
  <si>
    <t>Sheet  53</t>
  </si>
  <si>
    <t>Sheet  54</t>
  </si>
  <si>
    <t>Appropriated to Finance Improvement Authorization</t>
  </si>
  <si>
    <t>Next Year End</t>
  </si>
  <si>
    <t>Current Fund - Beginning Fund Balance</t>
  </si>
  <si>
    <t>Current Fund - Ending Fund Balance</t>
  </si>
  <si>
    <t>Current Fund - Cash</t>
  </si>
  <si>
    <t>Current Fund - Investments</t>
  </si>
  <si>
    <t>Current Fund Result of Operation</t>
  </si>
  <si>
    <t>Total Expenditures - General Budget Appropriation</t>
  </si>
  <si>
    <t>Outstanding General Bonded Debt</t>
  </si>
  <si>
    <t>Outstanding General Note Debt</t>
  </si>
  <si>
    <t>Outstanding Capital Lease Obligations</t>
  </si>
  <si>
    <t>Outstanding General Loan Debt</t>
  </si>
  <si>
    <t>________________  LOAN</t>
  </si>
  <si>
    <t>Current Fund - Cash Liabilities</t>
  </si>
  <si>
    <t>Total General Budget Revenues</t>
  </si>
  <si>
    <t>Annual Financial Statement - Key Metrics</t>
  </si>
  <si>
    <t>3 &amp; 3a</t>
  </si>
  <si>
    <t>General Capital</t>
  </si>
  <si>
    <t>Grant Fund</t>
  </si>
  <si>
    <t>DUE FROM/TO STATE - VETERANS AND SENIOR CITIZENS</t>
  </si>
  <si>
    <t>INVESTMENTS</t>
  </si>
  <si>
    <t>PREPAID TAXES</t>
  </si>
  <si>
    <t>DUE TO STATE:</t>
  </si>
  <si>
    <t>DCA TRAINING FEES</t>
  </si>
  <si>
    <t>DUE TO -</t>
  </si>
  <si>
    <t>GENERAL SERIAL BONDS</t>
  </si>
  <si>
    <t>TYPE 1 SCHOOL BONDS</t>
  </si>
  <si>
    <t>DOWN PAYMENTS ON IMPROVEMENTS</t>
  </si>
  <si>
    <t>ASSESSMENT NOTES</t>
  </si>
  <si>
    <t>ASSESSMENT SERIAL BONDS</t>
  </si>
  <si>
    <t>Receivables Offset with Reserves:</t>
  </si>
  <si>
    <t>Consumer Accounts Receivable</t>
  </si>
  <si>
    <t>Liens Receivable</t>
  </si>
  <si>
    <t>Deferred Charges (Sheet 48)</t>
  </si>
  <si>
    <t>Cash Liabilities:</t>
  </si>
  <si>
    <t>Deficit in Operations</t>
  </si>
  <si>
    <t>Total Operating</t>
  </si>
  <si>
    <t>need this formula in M32 to calculate M33 orM38 - hide formula from user</t>
  </si>
  <si>
    <t>need this formula in M10 to calculate M33 orM38 - hide formula from user</t>
  </si>
  <si>
    <t>Proof</t>
  </si>
  <si>
    <t>Miscellaneous</t>
  </si>
  <si>
    <t>Due from -</t>
  </si>
  <si>
    <t>Due  to -</t>
  </si>
  <si>
    <t>Reserve for Consumer Accounts and Lien Receivable</t>
  </si>
  <si>
    <t xml:space="preserve">Total      </t>
  </si>
  <si>
    <t>Receivables with Full Reserves:</t>
  </si>
  <si>
    <t>CONTRACT SALES RECEIVABLE</t>
  </si>
  <si>
    <t>MORTGAGE SALES RECEIVABLE</t>
  </si>
  <si>
    <t>MARRIAGE LICENCE</t>
  </si>
  <si>
    <t>LOCAL SCHOOL TAX PAYABLE</t>
  </si>
  <si>
    <t>REGIONAL SCHOOL TAX PAYABLE</t>
  </si>
  <si>
    <t>REGIONAL H.S.TAX PAYABLE</t>
  </si>
  <si>
    <t>DUE COUNTY - ADDED &amp; OMMITTED</t>
  </si>
  <si>
    <t>SPECIAL DISTRICT TAX PAYABLE</t>
  </si>
  <si>
    <t>RESERVE FOR TAX APPEAL</t>
  </si>
  <si>
    <t>DOG TRUST FUND</t>
  </si>
  <si>
    <t>DUE TO STATE OF NJ</t>
  </si>
  <si>
    <t>RESERVE FOR DOG FUND</t>
  </si>
  <si>
    <t>FUND TOTALS</t>
  </si>
  <si>
    <t>ASSESSMENT TRUST FUND</t>
  </si>
  <si>
    <t>MUNICIPAL OPEN SPACE TRUST FUND</t>
  </si>
  <si>
    <t>LOSAP TRUST FUND</t>
  </si>
  <si>
    <t>CDBG TRUST FUND</t>
  </si>
  <si>
    <t>OTHER TRUST FUNDS</t>
  </si>
  <si>
    <t>Trust - Municipal Open Space</t>
  </si>
  <si>
    <t>Trust - LOSAP</t>
  </si>
  <si>
    <t>Trust - CDBG</t>
  </si>
  <si>
    <t>Trust - Other</t>
  </si>
  <si>
    <t>Trust - Assessment</t>
  </si>
  <si>
    <t>Trust - Dog License</t>
  </si>
  <si>
    <t>UTILITIES:</t>
  </si>
  <si>
    <t>ADD YOUR UTILITIES AS NEEDED</t>
  </si>
  <si>
    <t>Sheet  9a.1</t>
  </si>
  <si>
    <t>Sheet  9a.2</t>
  </si>
  <si>
    <t>Sheet  9a.3</t>
  </si>
  <si>
    <t>TOTAL DEFERRED CHARGES</t>
  </si>
  <si>
    <t>MUST AGREE</t>
  </si>
  <si>
    <t>OTHER TRUST FUNDS (continued)</t>
  </si>
  <si>
    <t>Previous Totals</t>
  </si>
  <si>
    <t>OTHER TRUST FUNDS PAGE TOTAL</t>
  </si>
  <si>
    <t>Sheet  6.2</t>
  </si>
  <si>
    <t>Sheet  6.3</t>
  </si>
  <si>
    <t>Sheet  6.4</t>
  </si>
  <si>
    <t>Sheet 6b.1</t>
  </si>
  <si>
    <t>Sheet  6. TOTALS</t>
  </si>
  <si>
    <t>PAGE TOTAL</t>
  </si>
  <si>
    <t>PREVIOUS PAGE TOTAL</t>
  </si>
  <si>
    <t>Sheet 6b.2</t>
  </si>
  <si>
    <t>Sheet 6b.3</t>
  </si>
  <si>
    <t>Sheet 6b TOTAL</t>
  </si>
  <si>
    <t>Sheet  9a TOTAL</t>
  </si>
  <si>
    <t>Leave blank if CFO prepared</t>
  </si>
  <si>
    <t>PAGE TOTALS</t>
  </si>
  <si>
    <t>PREVIOUS PAGE TOTALS</t>
  </si>
  <si>
    <t>Sheet  10.1</t>
  </si>
  <si>
    <t>Sheet  10.2</t>
  </si>
  <si>
    <t>Sheet  10.3</t>
  </si>
  <si>
    <t>Sheet  10.4</t>
  </si>
  <si>
    <t>Sheet  10.5</t>
  </si>
  <si>
    <t>Sheet  10.6</t>
  </si>
  <si>
    <t>Sheet  10.7</t>
  </si>
  <si>
    <t>Sheet  10.9</t>
  </si>
  <si>
    <t>Sheet  10.8</t>
  </si>
  <si>
    <t>Sheet  10.10</t>
  </si>
  <si>
    <t>Sheet  10.11</t>
  </si>
  <si>
    <t>Sheet  10.12</t>
  </si>
  <si>
    <t>Sheet  10.13</t>
  </si>
  <si>
    <t>Sheet  10.14</t>
  </si>
  <si>
    <t>Sheet  10.15</t>
  </si>
  <si>
    <t>Sheet  10.16</t>
  </si>
  <si>
    <t>Sheet  10.17</t>
  </si>
  <si>
    <t>Sheet  10.19</t>
  </si>
  <si>
    <t>Sheet  10.18</t>
  </si>
  <si>
    <t>Sheet  10.20</t>
  </si>
  <si>
    <t>Sheet  10.21</t>
  </si>
  <si>
    <t>Sheet  10.22</t>
  </si>
  <si>
    <t>Sheet  10.23</t>
  </si>
  <si>
    <t>Sheet  10.24</t>
  </si>
  <si>
    <t xml:space="preserve"> TOTALS</t>
  </si>
  <si>
    <t>Sheet  11.1</t>
  </si>
  <si>
    <t>Sheet  11.2</t>
  </si>
  <si>
    <t>Sheet  11.3</t>
  </si>
  <si>
    <t>Sheet  11.4</t>
  </si>
  <si>
    <t>Sheet  11.5</t>
  </si>
  <si>
    <t>Sheet  11.6</t>
  </si>
  <si>
    <t>Sheet  11.7</t>
  </si>
  <si>
    <t>Sheet  11.8</t>
  </si>
  <si>
    <t>Sheet  11.9</t>
  </si>
  <si>
    <t>Sheet  11.10</t>
  </si>
  <si>
    <t>Sheet  11.11</t>
  </si>
  <si>
    <t>Sheet  11.12</t>
  </si>
  <si>
    <t>Sheet  11.13</t>
  </si>
  <si>
    <t>Sheet  11.14</t>
  </si>
  <si>
    <t>Sheet  11.15</t>
  </si>
  <si>
    <t>Sheet  11.16</t>
  </si>
  <si>
    <t>Sheet  11.17</t>
  </si>
  <si>
    <t>Sheet  11.18</t>
  </si>
  <si>
    <t>Sheet  11.20</t>
  </si>
  <si>
    <t>Sheet  11.19</t>
  </si>
  <si>
    <t>Sheet  11.21</t>
  </si>
  <si>
    <t>Sheet  11.22</t>
  </si>
  <si>
    <t>Sheet  11.23</t>
  </si>
  <si>
    <t>Sheet  11.24</t>
  </si>
  <si>
    <t>Sheet  11.25</t>
  </si>
  <si>
    <t>Sheet  11.26</t>
  </si>
  <si>
    <t>Sheet  11.27</t>
  </si>
  <si>
    <t>Sheet  11.28</t>
  </si>
  <si>
    <t>Sheet  11.29</t>
  </si>
  <si>
    <t>Sheet  11.30</t>
  </si>
  <si>
    <t>Sheet  11.31</t>
  </si>
  <si>
    <t>Sheet  11.32</t>
  </si>
  <si>
    <t>Sheet  11.33</t>
  </si>
  <si>
    <t>Sheet  11.34</t>
  </si>
  <si>
    <t>Sheet  11.35</t>
  </si>
  <si>
    <t>Sheet  11.36</t>
  </si>
  <si>
    <t>Sheet  11.37</t>
  </si>
  <si>
    <t>Sheet  11.38</t>
  </si>
  <si>
    <t>Sheet  11.39</t>
  </si>
  <si>
    <t>Sheet  11 Totals</t>
  </si>
  <si>
    <t>Sheet  12.2</t>
  </si>
  <si>
    <t>Sheet  12 Totals</t>
  </si>
  <si>
    <t>Sheet  17a.2</t>
  </si>
  <si>
    <t>Sheet  17a.1</t>
  </si>
  <si>
    <t>Sheet  17a.3</t>
  </si>
  <si>
    <t>Sheet  17a Totals</t>
  </si>
  <si>
    <t>Sheet  20.1</t>
  </si>
  <si>
    <t>Page Total Amount of Miscellaneous Revenues Not Anticipated (Sheet 19)</t>
  </si>
  <si>
    <t>Sheet  20 Totals</t>
  </si>
  <si>
    <t>Sheet  31a.2</t>
  </si>
  <si>
    <t>Sheet  31a.1</t>
  </si>
  <si>
    <t>Sheet  33.1</t>
  </si>
  <si>
    <t xml:space="preserve">Page Totals    </t>
  </si>
  <si>
    <t xml:space="preserve">PAGE TOTALS    </t>
  </si>
  <si>
    <t>Sheet  33 Totals</t>
  </si>
  <si>
    <t>Sheet  35a.1</t>
  </si>
  <si>
    <t>Sheet  35a.2</t>
  </si>
  <si>
    <t>Sheet  35a.3</t>
  </si>
  <si>
    <t>Sheet  35a.4</t>
  </si>
  <si>
    <t>Sheet  35a.5</t>
  </si>
  <si>
    <t>Sheet  35a.6</t>
  </si>
  <si>
    <t>Sheet  35a.7</t>
  </si>
  <si>
    <t>Sheet  35a.8</t>
  </si>
  <si>
    <t>GRAND TOTALS</t>
  </si>
  <si>
    <t>Need to be able to choose if completed or not.User needs to strike out  "Which I have prepared " or "Which I have not prepared"  Default to "NOT"</t>
  </si>
  <si>
    <r>
      <t xml:space="preserve">The undersigned certifies </t>
    </r>
    <r>
      <rPr>
        <u/>
        <sz val="10"/>
        <rFont val="Arial"/>
        <family val="2"/>
      </rPr>
      <t xml:space="preserve">that this municipality does not meet item(s)          </t>
    </r>
  </si>
  <si>
    <t>Need to be able to choose if completed or not.User needs to strike out  ""except for circumstances as set forth below, no matters" " or " No matters"  Default to "no matters"</t>
  </si>
  <si>
    <t>SCHEDULE OF TRUST FUND RESERVES</t>
  </si>
  <si>
    <t>SCHEDULE OF TRUST FUND RESERVES (CONT'D)</t>
  </si>
  <si>
    <t>TOTAL PAGE</t>
  </si>
  <si>
    <t>80121-</t>
  </si>
  <si>
    <t>(c) Minimum Library Tax</t>
  </si>
  <si>
    <t>DO NOT REMOVE formula in K40 to calculate H40 &amp;I39 - hide formula from user</t>
  </si>
  <si>
    <t>DO NOT REMOVE THIS FORMULA</t>
  </si>
  <si>
    <t>EMERGENCY  AUTHORIZATIONS  UNDER  N.J.S.A.  40A:4-47  WHICH  HAVE  BEEN</t>
  </si>
  <si>
    <t>N.J.S.A. 40A:4-55.1 or N.J.S.A.  40A:4-55.13 listed on Sheets 29 and 30.)</t>
  </si>
  <si>
    <t>(Do not include the emergency authorizations pursuant to N.J.S.A.40A:4-55,</t>
  </si>
  <si>
    <t>FUNDED  OR REFUNDED  UNDER  N.J.S.A. 40A:2-3  OR  N.J.S.A.  40A:2-51</t>
  </si>
  <si>
    <t>Sheet  49a.1</t>
  </si>
  <si>
    <t>Sheet  52.1</t>
  </si>
  <si>
    <t>Sheet  52.2</t>
  </si>
  <si>
    <t>Sheet  52.3</t>
  </si>
  <si>
    <t>Sheet  52.4</t>
  </si>
  <si>
    <t xml:space="preserve">PAGE TOTALS </t>
  </si>
  <si>
    <t>Sheet  52 Totals</t>
  </si>
  <si>
    <t xml:space="preserve">       TOTALS    </t>
  </si>
  <si>
    <t xml:space="preserve">PAGE TOTALS  </t>
  </si>
  <si>
    <t xml:space="preserve">TOTALS  </t>
  </si>
  <si>
    <t xml:space="preserve">Other </t>
  </si>
  <si>
    <t>Sheet  8.1</t>
  </si>
  <si>
    <t>Sheet  10 Totals</t>
  </si>
  <si>
    <t>Sheet  12.1</t>
  </si>
  <si>
    <t>Do Not Remove this formula</t>
  </si>
  <si>
    <t>Do Not Remove This Formula</t>
  </si>
  <si>
    <t>Do Not Remove this Formula</t>
  </si>
  <si>
    <t>As the CFO, did you prepare this annual financial statement? Type Y/N in the grey box below.</t>
  </si>
  <si>
    <t>(which I have prepared)</t>
  </si>
  <si>
    <t>(which I have not prepared)</t>
  </si>
  <si>
    <t>[eliminate one]</t>
  </si>
  <si>
    <t>(except for circumstances as set forth below, no matters)</t>
  </si>
  <si>
    <t>(no matters)</t>
  </si>
  <si>
    <t>Statement is not in substantial compliance? Type Y/N in the grey box below.</t>
  </si>
  <si>
    <t>agreed-upon procedures,</t>
  </si>
  <si>
    <t xml:space="preserve">(except for circumstances as set forth below, no matters) </t>
  </si>
  <si>
    <t xml:space="preserve">[eliminate one] </t>
  </si>
  <si>
    <t>came to my attention that caused me to believe that the Annual</t>
  </si>
  <si>
    <t>LOANS PAYABLE</t>
  </si>
  <si>
    <t>Deductions Allowed By Tax Collector</t>
  </si>
  <si>
    <t>Deductions Disallowed By Tax Collector Prior Taxes</t>
  </si>
  <si>
    <t>Deductions Disallowed By Tax Collector</t>
  </si>
  <si>
    <t>UTILITY 1</t>
  </si>
  <si>
    <t>UTILITY 2</t>
  </si>
  <si>
    <t>UTILITY 3</t>
  </si>
  <si>
    <t>UTILITY 4</t>
  </si>
  <si>
    <t>UTILITY 5</t>
  </si>
  <si>
    <t>UTILITY 6</t>
  </si>
  <si>
    <t>CAPITAL LEASES PAYABLE</t>
  </si>
  <si>
    <t>Amount due School Districts for School Tax</t>
  </si>
  <si>
    <t>Sheet  41a.1</t>
  </si>
  <si>
    <t xml:space="preserve">As the RMA, did you list any circumstances below that caused you to believe that this Annual Financial </t>
  </si>
  <si>
    <t>General Instructions to Complete the Annual Financial Statement Workbook</t>
  </si>
  <si>
    <t>a)</t>
  </si>
  <si>
    <t>b)</t>
  </si>
  <si>
    <t>c)</t>
  </si>
  <si>
    <t xml:space="preserve">The individual spreadsheets containing formulas are locked to protect the formulas. </t>
  </si>
  <si>
    <t>d)</t>
  </si>
  <si>
    <r>
      <t>Fill in only the gray sections of the</t>
    </r>
    <r>
      <rPr>
        <sz val="13"/>
        <rFont val="Cambria"/>
        <family val="1"/>
      </rPr>
      <t xml:space="preserve"> worksheet. </t>
    </r>
  </si>
  <si>
    <t>e)</t>
  </si>
  <si>
    <t>f)</t>
  </si>
  <si>
    <t>g)</t>
  </si>
  <si>
    <t>h)</t>
  </si>
  <si>
    <r>
      <t xml:space="preserve">The completed AFS must be submitted  to the Division, via the FAST portal </t>
    </r>
    <r>
      <rPr>
        <sz val="13"/>
        <rFont val="Cambria"/>
        <family val="1"/>
      </rPr>
      <t xml:space="preserve">and it must be precisely named as: </t>
    </r>
    <r>
      <rPr>
        <b/>
        <sz val="13"/>
        <rFont val="Cambria"/>
        <family val="1"/>
      </rPr>
      <t>xxxx_afs_2019.xls (all 4 digits municode must be included)</t>
    </r>
    <r>
      <rPr>
        <sz val="13"/>
        <rFont val="Cambria"/>
        <family val="1"/>
      </rPr>
      <t xml:space="preserve">. </t>
    </r>
  </si>
  <si>
    <t>i)</t>
  </si>
  <si>
    <t>0100</t>
  </si>
  <si>
    <t>0200</t>
  </si>
  <si>
    <t>0300</t>
  </si>
  <si>
    <t>0400</t>
  </si>
  <si>
    <t>0500</t>
  </si>
  <si>
    <t>0600</t>
  </si>
  <si>
    <t>0700</t>
  </si>
  <si>
    <t>0800</t>
  </si>
  <si>
    <t>0900</t>
  </si>
  <si>
    <t>1000</t>
  </si>
  <si>
    <t>1100</t>
  </si>
  <si>
    <t>1200</t>
  </si>
  <si>
    <t>1300</t>
  </si>
  <si>
    <t>1400</t>
  </si>
  <si>
    <t>1500</t>
  </si>
  <si>
    <t>1600</t>
  </si>
  <si>
    <t>1700</t>
  </si>
  <si>
    <t>1800</t>
  </si>
  <si>
    <t>1900</t>
  </si>
  <si>
    <t>2000</t>
  </si>
  <si>
    <t>2100</t>
  </si>
  <si>
    <t>Full Name of Municipality / County</t>
  </si>
  <si>
    <t>County of Municipality / County</t>
  </si>
  <si>
    <t>Name of Municipality / County</t>
  </si>
  <si>
    <t>Atlantic County</t>
  </si>
  <si>
    <t>Bergen County</t>
  </si>
  <si>
    <t>Burlington County</t>
  </si>
  <si>
    <t>Camden County</t>
  </si>
  <si>
    <t>Cape May County</t>
  </si>
  <si>
    <t>Cumberland County</t>
  </si>
  <si>
    <t>Essex County</t>
  </si>
  <si>
    <t>Gloucester County</t>
  </si>
  <si>
    <t>Hudson County</t>
  </si>
  <si>
    <t>Hunterdon County</t>
  </si>
  <si>
    <t>Mercer County</t>
  </si>
  <si>
    <t>Middlesex County</t>
  </si>
  <si>
    <t>Monmouth County</t>
  </si>
  <si>
    <t>Morris County</t>
  </si>
  <si>
    <t>Ocean County</t>
  </si>
  <si>
    <t>Passaic County</t>
  </si>
  <si>
    <t>Salem County</t>
  </si>
  <si>
    <t>Somerset County</t>
  </si>
  <si>
    <t>Sussex County</t>
  </si>
  <si>
    <t>Union County</t>
  </si>
  <si>
    <t>Warren County</t>
  </si>
  <si>
    <t>Atlantic County, Atlantic County</t>
  </si>
  <si>
    <t>Bergen County, Bergen County</t>
  </si>
  <si>
    <t>Burlington County, Burlington County</t>
  </si>
  <si>
    <t>Camden County, Camden County</t>
  </si>
  <si>
    <t>Cape May County, Cape May County</t>
  </si>
  <si>
    <t>Cumberland County, Cumberland County</t>
  </si>
  <si>
    <t>Essex County, Essex County</t>
  </si>
  <si>
    <t>Gloucester County, Gloucester County</t>
  </si>
  <si>
    <t>Hudson County, Hudson County</t>
  </si>
  <si>
    <t>Hunterdon County, Hunterdon County</t>
  </si>
  <si>
    <t>Mercer County, Mercer County</t>
  </si>
  <si>
    <t>Middlesex County, Middlesex County</t>
  </si>
  <si>
    <t>Monmouth County, Monmouth County</t>
  </si>
  <si>
    <t>Morris County, Morris County</t>
  </si>
  <si>
    <t>Ocean County, Ocean County</t>
  </si>
  <si>
    <t>Passaic County, Passaic County</t>
  </si>
  <si>
    <t>Salem County, Salem County</t>
  </si>
  <si>
    <t>Somerset County, Somerset County</t>
  </si>
  <si>
    <t>Sussex County, Sussex County</t>
  </si>
  <si>
    <t>Union County, Union County</t>
  </si>
  <si>
    <t>Warren County, Warren County</t>
  </si>
  <si>
    <t>Board of Chosen Freeholders</t>
  </si>
  <si>
    <t>GENERAL  CAPITAL  BONDS</t>
  </si>
  <si>
    <t>Overexpenditure of Appropriations</t>
  </si>
  <si>
    <t>MUST PICK BETWEEN SCHOOL YEAR AND CALENDAR YEAR</t>
  </si>
  <si>
    <t>COUNTY TAX PAYABLE</t>
  </si>
  <si>
    <t xml:space="preserve"> of the criteria above and therefore does not qualify for local</t>
  </si>
  <si>
    <t>Column I formula will be overridden if revenue is not realized</t>
  </si>
  <si>
    <t>Loan</t>
  </si>
  <si>
    <t>LOAN</t>
  </si>
  <si>
    <t>Rents Levied</t>
  </si>
  <si>
    <t>Total Capital</t>
  </si>
  <si>
    <t>("Excess in Operations" - Sheet 46)</t>
  </si>
  <si>
    <t>User Charges Levied</t>
  </si>
  <si>
    <t>Transfer to Liens</t>
  </si>
  <si>
    <t>DLGS</t>
  </si>
  <si>
    <t>UTILITY NAME</t>
  </si>
  <si>
    <t>Sheet  3a.1</t>
  </si>
  <si>
    <t>TOTALS FROM PAGE 3a</t>
  </si>
  <si>
    <t>TOTALS FROM PAGE 3</t>
  </si>
  <si>
    <t>This workbook is composed of several individual worksheets to complete the Annual Financial Statement.</t>
  </si>
  <si>
    <t xml:space="preserve">Select the municipality  (and county)  or County by clicking  on the arrow on the right side to choose. This will populate the name and county and dates  throughout the workbook.  Then continue to complete each of the fields in order to populate throughout the workbook. If a Utility(s) exist, enter the type of utility into the fields listed. </t>
  </si>
  <si>
    <t>Begin by navigating to the "Key Inputs" tab.</t>
  </si>
  <si>
    <t>In all applicable signature lines insert appropriate officials email address.</t>
  </si>
  <si>
    <t>Only the Chief Financial Officer has access to the submit for review tab within the FAST portal.</t>
  </si>
  <si>
    <t xml:space="preserve"> It is designed to automatically calculate linked schedules from each of the data entry points. </t>
  </si>
  <si>
    <t>Sheet  35 Totals</t>
  </si>
  <si>
    <t>Sheet  35.1</t>
  </si>
  <si>
    <t xml:space="preserve">Quick Guide: </t>
  </si>
  <si>
    <t>https://www.nj.gov/dca/divisions/dlgs/pdf/FAST%20AFS%20Quick%20User%20Guide.pdf</t>
  </si>
  <si>
    <t>ASSESSMENTS RECEIVABLE</t>
  </si>
  <si>
    <t>RESERVE FOR ASSESSMENTS</t>
  </si>
  <si>
    <t>DUE TO GENERAL CAPITAL FUND</t>
  </si>
  <si>
    <t>ASSESSMENT SERIAL BONDS &amp; LOANS</t>
  </si>
  <si>
    <t>AFFORDABLE HOUSING</t>
  </si>
  <si>
    <t>DEVELOPERS ESCROW</t>
  </si>
  <si>
    <t>PAYROLL DEDUCTION</t>
  </si>
  <si>
    <t>DONATIONS</t>
  </si>
  <si>
    <t>POAA</t>
  </si>
  <si>
    <t>PUBLIC DEFENDER</t>
  </si>
  <si>
    <t>MARRIAGE LICENSES</t>
  </si>
  <si>
    <t>SIDEWALK FUND</t>
  </si>
  <si>
    <t>FIRE SAFETY PENALTIES</t>
  </si>
  <si>
    <t>FIRE DEPARTMENT PENALTIES</t>
  </si>
  <si>
    <t>TREE FUND</t>
  </si>
  <si>
    <t>ACCUMULATED SICK LEAVE</t>
  </si>
  <si>
    <t>POLICE FORFEITURE FUNDS</t>
  </si>
  <si>
    <t>UNEMPLOYMENT TRUST</t>
  </si>
  <si>
    <t>NESS PROPERTY CLEANUP</t>
  </si>
  <si>
    <t>POLICE FEDERAL FORFEITURE FUNDS</t>
  </si>
  <si>
    <t>RECREATION</t>
  </si>
  <si>
    <t>PRIVATE DUTY</t>
  </si>
  <si>
    <t xml:space="preserve">RESERVE FOR OPEN SPACE </t>
  </si>
  <si>
    <t>INTERFUND PAYABLE TO CURRENT FUND</t>
  </si>
  <si>
    <t>TOTAL MISCELLANEOUS TRUST RESERVES</t>
  </si>
  <si>
    <t>DUE FROM ASSESSMENT TRUST FUND</t>
  </si>
  <si>
    <t>RECEIVABLE-NJDOT STATE ROAD AID</t>
  </si>
  <si>
    <t>RESERVE FOR RECEIVABLE</t>
  </si>
  <si>
    <t>RESERVE FOR ENCUMBRANCES</t>
  </si>
  <si>
    <t>RESERVE FOR PAYMENT OF DEBT SERVICE</t>
  </si>
  <si>
    <t>investors Bank A/C #1000107218 - Current</t>
  </si>
  <si>
    <t>investors Bank A/C #1000107237 - Grant</t>
  </si>
  <si>
    <t>investors Bank A/C #1000107223 - Capital</t>
  </si>
  <si>
    <t>investors Bank A/C #1000107261 - Other Escrow including Open Space</t>
  </si>
  <si>
    <t>investors Bank A/C #1000107299 - Trust - Dog License / Animal Control</t>
  </si>
  <si>
    <t>investors Bank A/C #1000107317 - Trust - Assessment</t>
  </si>
  <si>
    <t>investors Bank A/C #1000107322 - Current - Tax</t>
  </si>
  <si>
    <t>investors Bank A/C #1000107275 - Trust - Other - Developer Escrow</t>
  </si>
  <si>
    <t>investors Bank A/C #1000103639 - Trust - Other - Affordable Housing</t>
  </si>
  <si>
    <t>investors Bank A/C #1000107256 - Trust - Other - Payroll</t>
  </si>
  <si>
    <t>NJ Safe and Secure Communities Program</t>
  </si>
  <si>
    <t>NJ Safe and Secure Communities Program - 2019</t>
  </si>
  <si>
    <t xml:space="preserve">      State Share</t>
  </si>
  <si>
    <t xml:space="preserve">      Local Share</t>
  </si>
  <si>
    <t>FEMA Generator Grant</t>
  </si>
  <si>
    <t>Alcohol Education Rehabilitation Fund - 2019</t>
  </si>
  <si>
    <t>Clean Communities - 2019</t>
  </si>
  <si>
    <t>Recycling Tonnage Grant - 2018 &amp; 2019</t>
  </si>
  <si>
    <t>Body Armor Replacement Fund - 2018</t>
  </si>
  <si>
    <t>Body Armor Replacement Fund - 2019</t>
  </si>
  <si>
    <t>Somerset Cty Youth Services/Athletic Grants - 2019-2020</t>
  </si>
  <si>
    <t>Somerset County Block Grant - Historic Grant - 2019</t>
  </si>
  <si>
    <t>Drunk Driving Enforcement Fund</t>
  </si>
  <si>
    <t>Safe and Secure Communities</t>
  </si>
  <si>
    <t>Safe and Secure Communities - 2019</t>
  </si>
  <si>
    <t>Click It Or Ticket - 2016</t>
  </si>
  <si>
    <t>Alcohol Education Rehabilitation Fund - 2014</t>
  </si>
  <si>
    <t>Alcohol Education Rehabilitation Fund - 2015</t>
  </si>
  <si>
    <t>Alcohol Education Rehabilitation Fund - 2016</t>
  </si>
  <si>
    <t>Alcohol Education Rehabilitation Fund - 2017</t>
  </si>
  <si>
    <t>Alcohol Education Rehabilitation Fund - 2018</t>
  </si>
  <si>
    <t>Alcohol Education Rehabilitation Fund - Other</t>
  </si>
  <si>
    <t>Clean Communities</t>
  </si>
  <si>
    <t>Clean Communities - 2017</t>
  </si>
  <si>
    <t>Clean Communities - 2018</t>
  </si>
  <si>
    <t>Somerset Cty Youth Services/Athletic Grants - 2016-2017</t>
  </si>
  <si>
    <t>Somerset Cty Youth Services/Athletic Grants - 2017-2018</t>
  </si>
  <si>
    <t>Somerset Cty Youth Services/Athletic Grants - 2018-2019</t>
  </si>
  <si>
    <t>Somerset County Block Grant - Historic Grant - 2018</t>
  </si>
  <si>
    <t>All Hazards Emergency Oper. Planning Program</t>
  </si>
  <si>
    <t>#01-10/02-29 Various 2001 Capital Improvements</t>
  </si>
  <si>
    <t xml:space="preserve">#04-10 Various Public Improvements </t>
  </si>
  <si>
    <t>#06-17 Various Public Improvements</t>
  </si>
  <si>
    <t>#09-02 Reconstruction of Bayberry Lane &amp; Johnston Drive</t>
  </si>
  <si>
    <t>#09-13 Various Public Improvements</t>
  </si>
  <si>
    <t>#12-05 Affordable Housing Services</t>
  </si>
  <si>
    <t>#13-11 Police &amp; Fire Equipment</t>
  </si>
  <si>
    <t>#13-9 Acquisition &amp; Installation of Radio Equipment</t>
  </si>
  <si>
    <t>#14-17 Various Public Improvements</t>
  </si>
  <si>
    <t xml:space="preserve">#15-11 Various Public Improvements </t>
  </si>
  <si>
    <t>#15-3/16-01 Road Resurfacing Program</t>
  </si>
  <si>
    <t>#16-04 Various Public Improvements</t>
  </si>
  <si>
    <t>#16-07 Various Public Improvements</t>
  </si>
  <si>
    <t xml:space="preserve">#17-02 Various Public Improvements </t>
  </si>
  <si>
    <t>#18-12 Various Public Improvement &amp; Equipment</t>
  </si>
  <si>
    <t>#18-14 Installation of Electronic Sign</t>
  </si>
  <si>
    <t>#18-15 Various Public Improvements &amp; Equipment</t>
  </si>
  <si>
    <t>Joseph J Faccone</t>
  </si>
  <si>
    <t>Samuel Klein and Company</t>
  </si>
  <si>
    <t>550 Broad Street Suite 1100</t>
  </si>
  <si>
    <t>Newark, New Jersey 07102</t>
  </si>
  <si>
    <t>973-624-6100</t>
  </si>
  <si>
    <t>973-624-6101</t>
  </si>
  <si>
    <t>X</t>
  </si>
  <si>
    <t>#16-10 Acquisition of Fire Truck</t>
  </si>
  <si>
    <t>#05-13 Acquisition of Fire Truck</t>
  </si>
  <si>
    <t>#06-16 Various Equipment and Improvements</t>
  </si>
  <si>
    <t>#07-16 Various Equipment and Improvements</t>
  </si>
  <si>
    <t>#08-18 Acquisition of Fire and Recreation Equipment</t>
  </si>
  <si>
    <t>#19-14 Various Property Improvements</t>
  </si>
  <si>
    <t>#19-15 Various Public Improvements</t>
  </si>
  <si>
    <t>MUNICIPAL GREEN ACRES TRUST LOAN</t>
  </si>
  <si>
    <t>NJ ENVIRONMENTAL INFRASTRUCTURE LOAN</t>
  </si>
  <si>
    <t>Improvement #16-04</t>
  </si>
  <si>
    <t>Improvement #16-07</t>
  </si>
  <si>
    <t>Improvement #17-08</t>
  </si>
  <si>
    <t>Improvement #17-02</t>
  </si>
  <si>
    <t>Improvement #18-12</t>
  </si>
  <si>
    <t>Improvement #18-15</t>
  </si>
  <si>
    <t>Improvement #19-15</t>
  </si>
  <si>
    <t>Ordinance #19-14</t>
  </si>
  <si>
    <t>Ordinance #19-15</t>
  </si>
  <si>
    <t>RESERVE FOR ENCUMBRANCE</t>
  </si>
  <si>
    <t>ACCOUNTS PAYABLE</t>
  </si>
  <si>
    <t>TAX SALE PREMIUMS</t>
  </si>
  <si>
    <t>UCC FEES</t>
  </si>
  <si>
    <t>DUE TO ASSESSMENT TRUST FUND</t>
  </si>
  <si>
    <t>DUE TO CAPITAL FUND</t>
  </si>
  <si>
    <t>Received from 2018</t>
  </si>
  <si>
    <t>Somerset Recreation Grant</t>
  </si>
  <si>
    <t>Body Armor Fund</t>
  </si>
  <si>
    <t>Municipal Alcohol Education/Rehabilitation Program</t>
  </si>
  <si>
    <t>Somerset County Historic Grant</t>
  </si>
  <si>
    <t>NJDEP-Clean Communities</t>
  </si>
  <si>
    <t>Cable TV Franchise Fee</t>
  </si>
  <si>
    <t>Maps</t>
  </si>
  <si>
    <t>Other Miscellaneous</t>
  </si>
  <si>
    <t>Police Private Duty Admin Fee</t>
  </si>
  <si>
    <t>Police Property Room</t>
  </si>
  <si>
    <t>Prior Year Refunds</t>
  </si>
  <si>
    <t>Sale Borough Property</t>
  </si>
  <si>
    <t>Tax Collector-Miscellaneous</t>
  </si>
  <si>
    <t>Xerox Copies-Clerk</t>
  </si>
  <si>
    <t>Property Owner List-Tax Assessor</t>
  </si>
  <si>
    <t>Bad Check Fees-Tax Collector</t>
  </si>
  <si>
    <t>Bid Specifications-Clerk</t>
  </si>
  <si>
    <t>DUE TO - CURRENT FUND</t>
  </si>
  <si>
    <t>Senior and Veterans Deductions Admin Fee</t>
  </si>
  <si>
    <t>PREPAID LICENSES AND FEES</t>
  </si>
  <si>
    <t>SEWER REPAIR EMERGENCY RESERVE</t>
  </si>
  <si>
    <t xml:space="preserve">INTERFUND PAYABLE TO CURRENT FUND </t>
  </si>
  <si>
    <t>DUE FROM ANIMAL TRUST FUND</t>
  </si>
  <si>
    <t>DUE FROM DEVELOPER ESCROW FUND</t>
  </si>
  <si>
    <t>NJ ENVIRONMENTAL INFRASTRUCTURE ASSESSMENT LOAN</t>
  </si>
  <si>
    <t>DUE FROM OPEN SPACE TRUST</t>
  </si>
  <si>
    <t>NJ Environmental Infrastructure Loan</t>
  </si>
  <si>
    <t>15 MOUNTAIN BOULEVARD</t>
  </si>
  <si>
    <t>WATCHUNG, NEW JERSEY 07069</t>
  </si>
  <si>
    <t>908-757-7027</t>
  </si>
  <si>
    <t>908-756-0080</t>
  </si>
  <si>
    <t>YES</t>
  </si>
  <si>
    <t>NO</t>
  </si>
  <si>
    <t>bhance@watchungnj.gov</t>
  </si>
  <si>
    <t>CFO</t>
  </si>
  <si>
    <t>N</t>
  </si>
  <si>
    <t>William J. Hance</t>
  </si>
  <si>
    <t>N0431</t>
  </si>
  <si>
    <t>ekerwin@watchungnj.gov</t>
  </si>
  <si>
    <t>t-8245</t>
  </si>
  <si>
    <t>Recycling Tonnage Grant</t>
  </si>
  <si>
    <t xml:space="preserve">  </t>
  </si>
  <si>
    <t xml:space="preserve">Body Armor Replacement Fund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</si>
</sst>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mmmm\ d\,\ yyyy"/>
    <numFmt numFmtId="165" formatCode="_(* #,##0_);_(* \(#,##0\);_(* &quot;-&quot;??_);_(@_)"/>
    <numFmt numFmtId="166" formatCode="mm/dd/yy;@"/>
    <numFmt numFmtId="167" formatCode="_(* #,##0.000_);_(* \(#,##0.000\);_(* &quot;-&quot;???_);_(@_)"/>
    <numFmt numFmtId="168" formatCode="_(* #,##0.0000_);_(* \(#,##0.0000\);_(* &quot;-&quot;????_);_(@_)"/>
    <numFmt numFmtId="169" formatCode="0.000%"/>
    <numFmt numFmtId="170" formatCode="0.0000%"/>
  </numFmts>
  <fonts count="7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8"/>
      <name val="Arial"/>
      <family val="2"/>
    </font>
    <font>
      <b/>
      <sz val="18"/>
      <name val="Times New Roman"/>
      <family val="1"/>
    </font>
    <font>
      <b/>
      <sz val="12"/>
      <name val="Times New Roman"/>
      <family val="1"/>
    </font>
    <font>
      <sz val="10"/>
      <name val="Times New Roman"/>
      <family val="1"/>
    </font>
    <font>
      <i/>
      <sz val="9"/>
      <name val="Arial"/>
      <family val="2"/>
    </font>
    <font>
      <u/>
      <sz val="10"/>
      <name val="Times New Roman"/>
      <family val="1"/>
    </font>
    <font>
      <sz val="8"/>
      <name val="Arial"/>
      <family val="2"/>
    </font>
    <font>
      <b/>
      <sz val="14"/>
      <name val="Times New Roman"/>
      <family val="1"/>
    </font>
    <font>
      <b/>
      <sz val="16"/>
      <name val="Times New Roman"/>
      <family val="1"/>
    </font>
    <font>
      <sz val="11"/>
      <name val="Arial"/>
      <family val="2"/>
    </font>
    <font>
      <sz val="11"/>
      <name val="Times New Roman"/>
      <family val="1"/>
    </font>
    <font>
      <b/>
      <sz val="9"/>
      <name val="Arial"/>
      <family val="2"/>
    </font>
    <font>
      <sz val="9"/>
      <name val="Arial"/>
      <family val="2"/>
    </font>
    <font>
      <b/>
      <sz val="10"/>
      <name val="Arial"/>
      <family val="2"/>
    </font>
    <font>
      <b/>
      <sz val="11"/>
      <name val="Times New Roman"/>
      <family val="1"/>
    </font>
    <font>
      <b/>
      <u/>
      <sz val="11"/>
      <name val="Times New Roman"/>
      <family val="1"/>
    </font>
    <font>
      <sz val="10"/>
      <name val="Arial"/>
      <family val="2"/>
    </font>
    <font>
      <u/>
      <sz val="8"/>
      <name val="Arial"/>
      <family val="2"/>
    </font>
    <font>
      <u/>
      <sz val="10"/>
      <name val="Arial"/>
      <family val="2"/>
    </font>
    <font>
      <b/>
      <sz val="11"/>
      <name val="Arial"/>
      <family val="2"/>
    </font>
    <font>
      <b/>
      <sz val="12"/>
      <name val="Arial"/>
      <family val="2"/>
    </font>
    <font>
      <b/>
      <i/>
      <sz val="10"/>
      <name val="Arial"/>
      <family val="2"/>
    </font>
    <font>
      <i/>
      <sz val="11"/>
      <name val="Arial"/>
      <family val="2"/>
    </font>
    <font>
      <b/>
      <sz val="14"/>
      <name val="Arial"/>
      <family val="2"/>
    </font>
    <font>
      <b/>
      <u/>
      <sz val="10"/>
      <name val="Arial"/>
      <family val="2"/>
    </font>
    <font>
      <sz val="14"/>
      <name val="Times New Roman"/>
      <family val="1"/>
    </font>
    <font>
      <i/>
      <u/>
      <sz val="10"/>
      <name val="Arial"/>
      <family val="2"/>
    </font>
    <font>
      <b/>
      <sz val="10"/>
      <name val="Times New Roman"/>
      <family val="1"/>
    </font>
    <font>
      <sz val="12"/>
      <name val="Arial"/>
      <family val="2"/>
    </font>
    <font>
      <b/>
      <u/>
      <sz val="11"/>
      <name val="Arial"/>
      <family val="2"/>
    </font>
    <font>
      <b/>
      <u/>
      <sz val="26"/>
      <name val="Times New Roman"/>
      <family val="1"/>
    </font>
    <font>
      <b/>
      <i/>
      <sz val="9"/>
      <name val="Arial"/>
      <family val="2"/>
    </font>
    <font>
      <b/>
      <i/>
      <sz val="11"/>
      <name val="Arial"/>
      <family val="2"/>
    </font>
    <font>
      <b/>
      <sz val="20"/>
      <name val="Times New Roman"/>
      <family val="1"/>
    </font>
    <font>
      <b/>
      <sz val="8"/>
      <name val="Arial"/>
      <family val="2"/>
    </font>
    <font>
      <u/>
      <sz val="9"/>
      <name val="Arial"/>
      <family val="2"/>
    </font>
    <font>
      <sz val="8.5"/>
      <name val="Arial"/>
      <family val="2"/>
    </font>
    <font>
      <sz val="8"/>
      <name val="Arial"/>
      <family val="2"/>
    </font>
    <font>
      <b/>
      <sz val="10"/>
      <name val="Arial"/>
      <family val="2"/>
    </font>
    <font>
      <sz val="9"/>
      <name val="Arial"/>
      <family val="2"/>
    </font>
    <font>
      <sz val="10"/>
      <name val="Arial"/>
      <family val="2"/>
    </font>
    <font>
      <sz val="12"/>
      <name val="Times New Roman"/>
      <family val="1"/>
    </font>
    <font>
      <sz val="10"/>
      <name val="Arial"/>
      <family val="2"/>
    </font>
    <font>
      <u/>
      <sz val="10.45"/>
      <color indexed="12"/>
      <name val="Times New Roman"/>
      <family val="1"/>
    </font>
    <font>
      <sz val="11"/>
      <name val="Arial MT"/>
    </font>
    <font>
      <sz val="10"/>
      <name val="Arial"/>
      <family val="2"/>
    </font>
    <font>
      <u/>
      <sz val="10"/>
      <color indexed="12"/>
      <name val="Arial"/>
      <family val="2"/>
    </font>
    <font>
      <sz val="12"/>
      <name val="Times New Roman"/>
      <family val="1"/>
    </font>
    <font>
      <sz val="10"/>
      <color theme="1"/>
      <name val="Arial"/>
      <family val="2"/>
    </font>
    <font>
      <u/>
      <sz val="10"/>
      <color theme="10"/>
      <name val="Arial"/>
      <family val="2"/>
    </font>
    <font>
      <u/>
      <sz val="9.5500000000000007"/>
      <color indexed="12"/>
      <name val="Arial"/>
      <family val="2"/>
    </font>
    <font>
      <sz val="10"/>
      <color rgb="FF0000FF"/>
      <name val="Arial"/>
      <family val="2"/>
    </font>
    <font>
      <sz val="10"/>
      <color rgb="FF0070C0"/>
      <name val="Arial"/>
      <family val="2"/>
    </font>
    <font>
      <sz val="11"/>
      <color rgb="FF0070C0"/>
      <name val="Arial Narrow"/>
      <family val="2"/>
    </font>
    <font>
      <b/>
      <sz val="13.5"/>
      <name val="Times New Roman"/>
      <family val="1"/>
    </font>
    <font>
      <sz val="16"/>
      <name val="Times New Roman"/>
      <family val="1"/>
    </font>
    <font>
      <sz val="10"/>
      <color theme="3" tint="0.39997558519241921"/>
      <name val="Arial"/>
      <family val="2"/>
    </font>
    <font>
      <sz val="10"/>
      <color rgb="FF00B0F0"/>
      <name val="Arial"/>
      <family val="2"/>
    </font>
    <font>
      <b/>
      <sz val="10"/>
      <color rgb="FFFF0000"/>
      <name val="Arial"/>
      <family val="2"/>
    </font>
    <font>
      <b/>
      <i/>
      <sz val="10"/>
      <color rgb="FFFF0000"/>
      <name val="Arial"/>
      <family val="2"/>
    </font>
    <font>
      <sz val="10"/>
      <color rgb="FF7030A0"/>
      <name val="Arial"/>
      <family val="2"/>
    </font>
    <font>
      <sz val="16"/>
      <color theme="1"/>
      <name val="Calibri"/>
      <family val="2"/>
      <scheme val="minor"/>
    </font>
    <font>
      <b/>
      <sz val="16"/>
      <name val="Calibri"/>
      <family val="2"/>
      <scheme val="minor"/>
    </font>
    <font>
      <sz val="13"/>
      <name val="Cambria"/>
      <family val="1"/>
      <scheme val="major"/>
    </font>
    <font>
      <sz val="13"/>
      <name val="Cambria"/>
      <family val="1"/>
    </font>
    <font>
      <b/>
      <sz val="13"/>
      <name val="Cambria"/>
      <family val="1"/>
    </font>
    <font>
      <sz val="11"/>
      <color rgb="FFFF0000"/>
      <name val="Calibri"/>
      <family val="2"/>
    </font>
    <font>
      <sz val="10"/>
      <color theme="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04">
    <border>
      <left/>
      <right/>
      <top/>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style="double">
        <color indexed="64"/>
      </left>
      <right style="double">
        <color indexed="64"/>
      </right>
      <top style="double">
        <color indexed="64"/>
      </top>
      <bottom/>
      <diagonal/>
    </border>
    <border>
      <left/>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right/>
      <top/>
      <bottom style="double">
        <color indexed="64"/>
      </bottom>
      <diagonal/>
    </border>
    <border>
      <left/>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top/>
      <bottom/>
      <diagonal/>
    </border>
    <border>
      <left style="double">
        <color indexed="64"/>
      </left>
      <right style="thin">
        <color indexed="64"/>
      </right>
      <top/>
      <bottom/>
      <diagonal/>
    </border>
    <border>
      <left style="double">
        <color indexed="64"/>
      </left>
      <right style="thin">
        <color indexed="64"/>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double">
        <color indexed="64"/>
      </left>
      <right style="double">
        <color indexed="64"/>
      </right>
      <top style="thin">
        <color indexed="64"/>
      </top>
      <bottom style="double">
        <color indexed="64"/>
      </bottom>
      <diagonal/>
    </border>
    <border>
      <left/>
      <right/>
      <top style="thin">
        <color indexed="64"/>
      </top>
      <bottom style="double">
        <color indexed="64"/>
      </bottom>
      <diagonal/>
    </border>
    <border>
      <left/>
      <right/>
      <top style="thin">
        <color indexed="64"/>
      </top>
      <bottom style="thick">
        <color indexed="64"/>
      </bottom>
      <diagonal/>
    </border>
    <border>
      <left style="double">
        <color indexed="64"/>
      </left>
      <right style="double">
        <color indexed="64"/>
      </right>
      <top style="thin">
        <color indexed="64"/>
      </top>
      <bottom style="thick">
        <color indexed="64"/>
      </bottom>
      <diagonal/>
    </border>
    <border>
      <left/>
      <right/>
      <top/>
      <bottom style="thin">
        <color indexed="64"/>
      </bottom>
      <diagonal/>
    </border>
    <border>
      <left style="double">
        <color indexed="64"/>
      </left>
      <right style="double">
        <color indexed="64"/>
      </right>
      <top/>
      <bottom style="thin">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ck">
        <color indexed="64"/>
      </top>
      <bottom style="double">
        <color indexed="64"/>
      </bottom>
      <diagonal/>
    </border>
    <border>
      <left style="double">
        <color indexed="64"/>
      </left>
      <right/>
      <top style="thick">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thin">
        <color indexed="64"/>
      </top>
      <bottom/>
      <diagonal/>
    </border>
    <border>
      <left/>
      <right/>
      <top/>
      <bottom style="thick">
        <color indexed="64"/>
      </bottom>
      <diagonal/>
    </border>
    <border>
      <left/>
      <right/>
      <top style="thick">
        <color indexed="64"/>
      </top>
      <bottom style="thin">
        <color indexed="64"/>
      </bottom>
      <diagonal/>
    </border>
    <border>
      <left/>
      <right style="double">
        <color indexed="64"/>
      </right>
      <top/>
      <bottom style="thin">
        <color indexed="64"/>
      </bottom>
      <diagonal/>
    </border>
    <border>
      <left style="thick">
        <color indexed="64"/>
      </left>
      <right style="thick">
        <color indexed="64"/>
      </right>
      <top style="thick">
        <color indexed="64"/>
      </top>
      <bottom style="thick">
        <color indexed="64"/>
      </bottom>
      <diagonal/>
    </border>
    <border>
      <left style="double">
        <color indexed="64"/>
      </left>
      <right/>
      <top style="thick">
        <color indexed="64"/>
      </top>
      <bottom style="thick">
        <color indexed="64"/>
      </bottom>
      <diagonal/>
    </border>
    <border>
      <left/>
      <right style="double">
        <color indexed="64"/>
      </right>
      <top style="thick">
        <color indexed="64"/>
      </top>
      <bottom style="thick">
        <color indexed="64"/>
      </bottom>
      <diagonal/>
    </border>
    <border>
      <left/>
      <right/>
      <top style="thick">
        <color indexed="64"/>
      </top>
      <bottom style="thick">
        <color indexed="64"/>
      </bottom>
      <diagonal/>
    </border>
    <border>
      <left style="double">
        <color indexed="64"/>
      </left>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thin">
        <color indexed="64"/>
      </top>
      <bottom style="thick">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double">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double">
        <color indexed="64"/>
      </left>
      <right/>
      <top/>
      <bottom style="thin">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style="thin">
        <color indexed="64"/>
      </right>
      <top style="thin">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style="double">
        <color indexed="64"/>
      </left>
      <right/>
      <top/>
      <bottom style="thick">
        <color indexed="64"/>
      </bottom>
      <diagonal/>
    </border>
    <border>
      <left/>
      <right style="double">
        <color indexed="64"/>
      </right>
      <top style="thick">
        <color indexed="64"/>
      </top>
      <bottom style="thin">
        <color indexed="64"/>
      </bottom>
      <diagonal/>
    </border>
    <border>
      <left style="double">
        <color indexed="64"/>
      </left>
      <right/>
      <top style="thick">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thin">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right/>
      <top style="thick">
        <color indexed="64"/>
      </top>
      <bottom style="double">
        <color indexed="64"/>
      </bottom>
      <diagonal/>
    </border>
    <border>
      <left style="double">
        <color indexed="64"/>
      </left>
      <right/>
      <top style="thin">
        <color indexed="64"/>
      </top>
      <bottom style="thick">
        <color indexed="64"/>
      </bottom>
      <diagonal/>
    </border>
    <border>
      <left style="double">
        <color indexed="64"/>
      </left>
      <right style="double">
        <color indexed="64"/>
      </right>
      <top/>
      <bottom style="thick">
        <color indexed="64"/>
      </bottom>
      <diagonal/>
    </border>
    <border>
      <left style="double">
        <color indexed="64"/>
      </left>
      <right/>
      <top style="thin">
        <color indexed="64"/>
      </top>
      <bottom style="medium">
        <color indexed="64"/>
      </bottom>
      <diagonal/>
    </border>
    <border>
      <left style="double">
        <color indexed="64"/>
      </left>
      <right/>
      <top style="medium">
        <color indexed="64"/>
      </top>
      <bottom style="double">
        <color indexed="64"/>
      </bottom>
      <diagonal/>
    </border>
    <border>
      <left/>
      <right style="double">
        <color indexed="64"/>
      </right>
      <top style="thin">
        <color indexed="64"/>
      </top>
      <bottom style="medium">
        <color indexed="64"/>
      </bottom>
      <diagonal/>
    </border>
    <border>
      <left style="double">
        <color indexed="64"/>
      </left>
      <right style="double">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bottom style="thin">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24994659260841701"/>
      </right>
      <top/>
      <bottom style="thin">
        <color theme="0" tint="-0.24994659260841701"/>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thin">
        <color indexed="64"/>
      </right>
      <top style="thin">
        <color indexed="64"/>
      </top>
      <bottom style="double">
        <color indexed="64"/>
      </bottom>
      <diagonal/>
    </border>
  </borders>
  <cellStyleXfs count="88">
    <xf numFmtId="0" fontId="0" fillId="0" borderId="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47" fillId="0" borderId="0" applyFont="0" applyFill="0" applyBorder="0" applyAlignment="0" applyProtection="0"/>
    <xf numFmtId="44" fontId="21" fillId="0" borderId="0" applyFont="0" applyFill="0" applyBorder="0" applyAlignment="0" applyProtection="0"/>
    <xf numFmtId="44" fontId="4" fillId="0" borderId="0" applyFont="0" applyFill="0" applyBorder="0" applyAlignment="0" applyProtection="0"/>
    <xf numFmtId="44" fontId="21" fillId="0" borderId="0" applyFont="0" applyFill="0" applyBorder="0" applyAlignment="0" applyProtection="0"/>
    <xf numFmtId="3" fontId="46" fillId="0" borderId="0"/>
    <xf numFmtId="0" fontId="14" fillId="0" borderId="0"/>
    <xf numFmtId="0" fontId="21" fillId="0" borderId="0"/>
    <xf numFmtId="9" fontId="4"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47" fillId="0" borderId="0" applyFont="0" applyFill="0" applyBorder="0" applyAlignment="0" applyProtection="0"/>
    <xf numFmtId="0" fontId="4" fillId="0" borderId="0"/>
    <xf numFmtId="43" fontId="4"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8" fillId="0" borderId="0" applyNumberFormat="0" applyFill="0" applyBorder="0" applyAlignment="0" applyProtection="0">
      <alignment vertical="top"/>
      <protection locked="0"/>
    </xf>
    <xf numFmtId="3" fontId="46" fillId="0" borderId="0"/>
    <xf numFmtId="3" fontId="46" fillId="0" borderId="0"/>
    <xf numFmtId="0" fontId="46" fillId="0" borderId="0"/>
    <xf numFmtId="0" fontId="46" fillId="0" borderId="0"/>
    <xf numFmtId="0" fontId="14" fillId="0" borderId="0"/>
    <xf numFmtId="0" fontId="49" fillId="0" borderId="0"/>
    <xf numFmtId="0" fontId="4" fillId="0" borderId="0"/>
    <xf numFmtId="0" fontId="46" fillId="0" borderId="0"/>
    <xf numFmtId="0" fontId="14" fillId="0" borderId="0"/>
    <xf numFmtId="9" fontId="4" fillId="0" borderId="0" applyFont="0" applyFill="0" applyBorder="0" applyAlignment="0" applyProtection="0"/>
    <xf numFmtId="9" fontId="1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4" fillId="0" borderId="0" applyFont="0" applyFill="0" applyBorder="0" applyAlignment="0" applyProtection="0"/>
    <xf numFmtId="43" fontId="50" fillId="0" borderId="0" applyFont="0" applyFill="0" applyBorder="0" applyAlignment="0" applyProtection="0"/>
    <xf numFmtId="44" fontId="4" fillId="0" borderId="0" applyFont="0" applyFill="0" applyBorder="0" applyAlignment="0" applyProtection="0"/>
    <xf numFmtId="43" fontId="50" fillId="0" borderId="0" applyFont="0" applyFill="0" applyBorder="0" applyAlignment="0" applyProtection="0"/>
    <xf numFmtId="43" fontId="14" fillId="0" borderId="0" applyFont="0" applyFill="0" applyBorder="0" applyAlignment="0" applyProtection="0"/>
    <xf numFmtId="44" fontId="50" fillId="0" borderId="0" applyFont="0" applyFill="0" applyBorder="0" applyAlignment="0" applyProtection="0"/>
    <xf numFmtId="44" fontId="4"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3" fontId="46" fillId="0" borderId="0"/>
    <xf numFmtId="44" fontId="53" fillId="0" borderId="0" applyFont="0" applyFill="0" applyBorder="0" applyAlignment="0" applyProtection="0"/>
    <xf numFmtId="44" fontId="3" fillId="0" borderId="0" applyFont="0" applyFill="0" applyBorder="0" applyAlignment="0" applyProtection="0"/>
    <xf numFmtId="3" fontId="46" fillId="0" borderId="0"/>
    <xf numFmtId="3" fontId="52" fillId="0" borderId="0"/>
    <xf numFmtId="0" fontId="51"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14" fillId="0" borderId="0"/>
    <xf numFmtId="0" fontId="4" fillId="0" borderId="0"/>
    <xf numFmtId="0" fontId="53" fillId="0" borderId="0"/>
    <xf numFmtId="0" fontId="54" fillId="0" borderId="0" applyNumberFormat="0" applyFill="0" applyBorder="0" applyAlignment="0" applyProtection="0"/>
    <xf numFmtId="0" fontId="4" fillId="0" borderId="0"/>
    <xf numFmtId="0" fontId="4" fillId="0" borderId="0"/>
    <xf numFmtId="9" fontId="50" fillId="0" borderId="0" applyFont="0" applyFill="0" applyBorder="0" applyAlignment="0" applyProtection="0"/>
    <xf numFmtId="9" fontId="1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3" fillId="0" borderId="0" applyFont="0" applyFill="0" applyBorder="0" applyAlignment="0" applyProtection="0"/>
    <xf numFmtId="9" fontId="4" fillId="0" borderId="0" applyFont="0" applyFill="0" applyBorder="0" applyAlignment="0" applyProtection="0"/>
    <xf numFmtId="0" fontId="3" fillId="0" borderId="0"/>
    <xf numFmtId="9" fontId="4" fillId="0" borderId="0" applyFont="0" applyFill="0" applyBorder="0" applyAlignment="0" applyProtection="0"/>
    <xf numFmtId="43" fontId="14" fillId="0" borderId="0" applyFont="0" applyFill="0" applyBorder="0" applyAlignment="0" applyProtection="0"/>
    <xf numFmtId="0" fontId="2" fillId="0" borderId="0"/>
    <xf numFmtId="43" fontId="2" fillId="0" borderId="0" applyFont="0" applyFill="0" applyBorder="0" applyAlignment="0" applyProtection="0"/>
    <xf numFmtId="0" fontId="54" fillId="0" borderId="0" applyNumberFormat="0" applyFill="0" applyBorder="0" applyAlignment="0" applyProtection="0"/>
  </cellStyleXfs>
  <cellXfs count="1972">
    <xf numFmtId="0" fontId="0" fillId="0" borderId="0" xfId="0"/>
    <xf numFmtId="0" fontId="0" fillId="0" borderId="0" xfId="0" applyAlignment="1">
      <alignment horizontal="center"/>
    </xf>
    <xf numFmtId="0" fontId="6" fillId="0" borderId="0" xfId="0" applyFont="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xf numFmtId="0" fontId="0" fillId="0" borderId="4" xfId="0" applyBorder="1"/>
    <xf numFmtId="0" fontId="0" fillId="0" borderId="5" xfId="0" applyBorder="1"/>
    <xf numFmtId="0" fontId="11" fillId="0" borderId="0" xfId="0" applyFont="1" applyAlignment="1">
      <alignment horizontal="left"/>
    </xf>
    <xf numFmtId="0" fontId="11" fillId="0" borderId="0" xfId="0" applyFont="1" applyAlignment="1">
      <alignment horizontal="center"/>
    </xf>
    <xf numFmtId="0" fontId="0" fillId="0" borderId="8" xfId="0" applyBorder="1"/>
    <xf numFmtId="0" fontId="0" fillId="0" borderId="9" xfId="0" applyBorder="1"/>
    <xf numFmtId="0" fontId="0" fillId="0" borderId="4" xfId="0" applyBorder="1" applyAlignment="1">
      <alignment horizontal="center"/>
    </xf>
    <xf numFmtId="0" fontId="0" fillId="0" borderId="10" xfId="0" applyBorder="1" applyAlignment="1">
      <alignment horizontal="center"/>
    </xf>
    <xf numFmtId="0" fontId="0" fillId="0" borderId="11" xfId="0" applyBorder="1"/>
    <xf numFmtId="0" fontId="0" fillId="0" borderId="10" xfId="0" applyBorder="1"/>
    <xf numFmtId="0" fontId="0" fillId="0" borderId="11" xfId="0"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applyAlignment="1">
      <alignment horizontal="center"/>
    </xf>
    <xf numFmtId="0" fontId="0" fillId="0" borderId="16" xfId="0"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horizontal="center" vertical="center"/>
    </xf>
    <xf numFmtId="0" fontId="13" fillId="0" borderId="0" xfId="0" applyFont="1" applyAlignment="1">
      <alignment horizontal="center"/>
    </xf>
    <xf numFmtId="0" fontId="0" fillId="0" borderId="23" xfId="0" applyBorder="1"/>
    <xf numFmtId="0" fontId="0" fillId="0" borderId="24" xfId="0" applyBorder="1"/>
    <xf numFmtId="0" fontId="0" fillId="0" borderId="8" xfId="0" applyBorder="1" applyAlignment="1">
      <alignment horizontal="center"/>
    </xf>
    <xf numFmtId="0" fontId="0" fillId="0" borderId="26" xfId="0" applyBorder="1"/>
    <xf numFmtId="0" fontId="17" fillId="0" borderId="3" xfId="0" applyFont="1" applyBorder="1"/>
    <xf numFmtId="0" fontId="17" fillId="0" borderId="5" xfId="0" applyFont="1" applyBorder="1"/>
    <xf numFmtId="0" fontId="17" fillId="0" borderId="26" xfId="0" applyFont="1" applyBorder="1"/>
    <xf numFmtId="0" fontId="11" fillId="0" borderId="0" xfId="0" applyFont="1"/>
    <xf numFmtId="0" fontId="20" fillId="0" borderId="0" xfId="0" applyFont="1"/>
    <xf numFmtId="0" fontId="21" fillId="0" borderId="0" xfId="0" applyFont="1"/>
    <xf numFmtId="0" fontId="23" fillId="0" borderId="0" xfId="0" applyFont="1"/>
    <xf numFmtId="0" fontId="0" fillId="0" borderId="0" xfId="0" applyAlignment="1">
      <alignment horizontal="right"/>
    </xf>
    <xf numFmtId="0" fontId="5" fillId="0" borderId="0" xfId="0" applyFont="1" applyBorder="1" applyAlignment="1">
      <alignment horizontal="center"/>
    </xf>
    <xf numFmtId="0" fontId="0" fillId="0" borderId="30" xfId="0" applyBorder="1"/>
    <xf numFmtId="0" fontId="0" fillId="0" borderId="31" xfId="0" applyBorder="1"/>
    <xf numFmtId="0" fontId="0" fillId="0" borderId="0" xfId="0" applyBorder="1"/>
    <xf numFmtId="0" fontId="11" fillId="0" borderId="5" xfId="0" applyFont="1" applyBorder="1"/>
    <xf numFmtId="0" fontId="11" fillId="0" borderId="0" xfId="0" applyFont="1" applyBorder="1"/>
    <xf numFmtId="0" fontId="18" fillId="0" borderId="0" xfId="0" applyFont="1" applyAlignment="1">
      <alignment horizontal="center"/>
    </xf>
    <xf numFmtId="0" fontId="18" fillId="0" borderId="7" xfId="0" applyFont="1" applyBorder="1" applyAlignment="1">
      <alignment horizontal="center"/>
    </xf>
    <xf numFmtId="0" fontId="18" fillId="0" borderId="3" xfId="0" applyFont="1" applyBorder="1" applyAlignment="1">
      <alignment horizontal="center"/>
    </xf>
    <xf numFmtId="0" fontId="18" fillId="0" borderId="32" xfId="0" applyFont="1" applyBorder="1" applyAlignment="1">
      <alignment horizontal="center"/>
    </xf>
    <xf numFmtId="0" fontId="0" fillId="0" borderId="3" xfId="0" applyBorder="1" applyAlignment="1">
      <alignment horizontal="right"/>
    </xf>
    <xf numFmtId="0" fontId="0" fillId="0" borderId="18" xfId="0" applyBorder="1" applyAlignment="1">
      <alignment horizontal="right"/>
    </xf>
    <xf numFmtId="0" fontId="18" fillId="0" borderId="33" xfId="0" applyFont="1" applyBorder="1" applyAlignment="1">
      <alignment horizontal="center"/>
    </xf>
    <xf numFmtId="0" fontId="0" fillId="0" borderId="5" xfId="0" applyBorder="1" applyAlignment="1">
      <alignment horizontal="right"/>
    </xf>
    <xf numFmtId="0" fontId="0" fillId="0" borderId="26" xfId="0" applyBorder="1" applyAlignment="1">
      <alignment horizontal="right"/>
    </xf>
    <xf numFmtId="0" fontId="0" fillId="0" borderId="9" xfId="0" applyBorder="1" applyAlignment="1">
      <alignment horizontal="center"/>
    </xf>
    <xf numFmtId="49" fontId="0" fillId="0" borderId="8" xfId="0" applyNumberFormat="1" applyBorder="1" applyAlignment="1">
      <alignment horizontal="center"/>
    </xf>
    <xf numFmtId="49" fontId="0" fillId="0" borderId="11" xfId="0" applyNumberFormat="1" applyBorder="1" applyAlignment="1">
      <alignment horizontal="center"/>
    </xf>
    <xf numFmtId="0" fontId="17" fillId="0" borderId="0" xfId="0" applyFont="1" applyAlignment="1">
      <alignment horizontal="center"/>
    </xf>
    <xf numFmtId="0" fontId="17" fillId="0" borderId="18" xfId="0" applyFont="1" applyBorder="1" applyAlignment="1">
      <alignment horizontal="center"/>
    </xf>
    <xf numFmtId="0" fontId="17" fillId="0" borderId="26" xfId="0" applyFont="1" applyBorder="1" applyAlignment="1">
      <alignment horizontal="center"/>
    </xf>
    <xf numFmtId="0" fontId="17" fillId="0" borderId="3" xfId="0" applyFont="1" applyBorder="1" applyAlignment="1">
      <alignment horizontal="center"/>
    </xf>
    <xf numFmtId="0" fontId="0" fillId="0" borderId="1" xfId="0" applyBorder="1"/>
    <xf numFmtId="0" fontId="11" fillId="0" borderId="18" xfId="0" applyFont="1" applyBorder="1"/>
    <xf numFmtId="43" fontId="0" fillId="0" borderId="33" xfId="1" applyFont="1" applyBorder="1"/>
    <xf numFmtId="43" fontId="0" fillId="0" borderId="18" xfId="1" applyFont="1" applyBorder="1"/>
    <xf numFmtId="43" fontId="0" fillId="0" borderId="0" xfId="1" applyFont="1"/>
    <xf numFmtId="43" fontId="0" fillId="0" borderId="27" xfId="1" applyFont="1" applyBorder="1"/>
    <xf numFmtId="43" fontId="0" fillId="0" borderId="26" xfId="1" applyFont="1" applyBorder="1"/>
    <xf numFmtId="43" fontId="0" fillId="0" borderId="7" xfId="1" applyFont="1" applyBorder="1"/>
    <xf numFmtId="43" fontId="0" fillId="0" borderId="3" xfId="1" applyFont="1" applyBorder="1"/>
    <xf numFmtId="43" fontId="0" fillId="0" borderId="25" xfId="1" applyFont="1" applyBorder="1"/>
    <xf numFmtId="43" fontId="0" fillId="0" borderId="34" xfId="1" applyFont="1" applyBorder="1"/>
    <xf numFmtId="43" fontId="0" fillId="0" borderId="35" xfId="1" applyFont="1" applyBorder="1"/>
    <xf numFmtId="43" fontId="0" fillId="0" borderId="5" xfId="1" applyFont="1" applyBorder="1"/>
    <xf numFmtId="0" fontId="0" fillId="0" borderId="15" xfId="0" applyBorder="1"/>
    <xf numFmtId="0" fontId="0" fillId="0" borderId="20" xfId="0" applyBorder="1" applyAlignment="1">
      <alignment horizontal="right"/>
    </xf>
    <xf numFmtId="43" fontId="0" fillId="0" borderId="36" xfId="1" applyFont="1" applyBorder="1"/>
    <xf numFmtId="0" fontId="0" fillId="0" borderId="31" xfId="0" applyBorder="1" applyAlignment="1">
      <alignment horizontal="right"/>
    </xf>
    <xf numFmtId="43" fontId="0" fillId="0" borderId="12" xfId="1" applyFont="1" applyBorder="1"/>
    <xf numFmtId="43" fontId="0" fillId="0" borderId="11" xfId="1" applyFont="1" applyBorder="1"/>
    <xf numFmtId="43" fontId="0" fillId="0" borderId="30" xfId="1" applyFont="1" applyBorder="1"/>
    <xf numFmtId="0" fontId="18" fillId="0" borderId="37" xfId="0" applyFont="1" applyBorder="1" applyAlignment="1">
      <alignment horizontal="center" vertical="center"/>
    </xf>
    <xf numFmtId="0" fontId="18" fillId="0" borderId="3" xfId="0" applyFont="1" applyBorder="1"/>
    <xf numFmtId="0" fontId="0" fillId="0" borderId="38" xfId="0" applyBorder="1"/>
    <xf numFmtId="43" fontId="0" fillId="0" borderId="8" xfId="1" applyFont="1" applyBorder="1"/>
    <xf numFmtId="49" fontId="0" fillId="0" borderId="0" xfId="0" applyNumberFormat="1" applyAlignment="1">
      <alignment horizontal="center"/>
    </xf>
    <xf numFmtId="49" fontId="0" fillId="0" borderId="18" xfId="0" applyNumberFormat="1" applyBorder="1" applyAlignment="1">
      <alignment horizontal="center"/>
    </xf>
    <xf numFmtId="49" fontId="0" fillId="0" borderId="3" xfId="0" applyNumberFormat="1" applyBorder="1" applyAlignment="1">
      <alignment horizontal="center"/>
    </xf>
    <xf numFmtId="49" fontId="0" fillId="0" borderId="26" xfId="0" applyNumberFormat="1" applyBorder="1" applyAlignment="1">
      <alignment horizontal="center"/>
    </xf>
    <xf numFmtId="0" fontId="0" fillId="0" borderId="37" xfId="0" applyBorder="1"/>
    <xf numFmtId="0" fontId="17" fillId="0" borderId="3" xfId="0" applyFont="1" applyBorder="1" applyAlignment="1">
      <alignment wrapText="1"/>
    </xf>
    <xf numFmtId="49" fontId="26" fillId="0" borderId="0" xfId="0" applyNumberFormat="1" applyFont="1" applyAlignment="1">
      <alignment horizontal="left"/>
    </xf>
    <xf numFmtId="0" fontId="24" fillId="0" borderId="0" xfId="0" applyFont="1"/>
    <xf numFmtId="0" fontId="14" fillId="0" borderId="0" xfId="0" applyFont="1"/>
    <xf numFmtId="0" fontId="27" fillId="0" borderId="0" xfId="0" applyFont="1"/>
    <xf numFmtId="0" fontId="0" fillId="0" borderId="39" xfId="0" applyBorder="1"/>
    <xf numFmtId="0" fontId="0" fillId="0" borderId="40" xfId="0" applyBorder="1"/>
    <xf numFmtId="49" fontId="0" fillId="0" borderId="0" xfId="0" applyNumberFormat="1" applyAlignment="1">
      <alignment horizontal="left"/>
    </xf>
    <xf numFmtId="0" fontId="0" fillId="0" borderId="0" xfId="0" applyAlignment="1">
      <alignment horizontal="left"/>
    </xf>
    <xf numFmtId="43" fontId="0" fillId="0" borderId="22" xfId="1" applyFont="1" applyBorder="1"/>
    <xf numFmtId="0" fontId="17" fillId="0" borderId="0" xfId="0" applyFont="1"/>
    <xf numFmtId="0" fontId="0" fillId="0" borderId="41" xfId="0" applyBorder="1" applyAlignment="1">
      <alignment horizontal="right"/>
    </xf>
    <xf numFmtId="0" fontId="0" fillId="0" borderId="41" xfId="0" applyBorder="1"/>
    <xf numFmtId="43" fontId="14" fillId="0" borderId="27" xfId="1" applyFont="1" applyBorder="1"/>
    <xf numFmtId="43" fontId="14" fillId="0" borderId="10" xfId="1" applyFont="1" applyBorder="1"/>
    <xf numFmtId="43" fontId="14" fillId="0" borderId="22" xfId="1" applyFont="1" applyBorder="1"/>
    <xf numFmtId="0" fontId="0" fillId="0" borderId="0" xfId="0" applyAlignment="1">
      <alignment vertical="center"/>
    </xf>
    <xf numFmtId="0" fontId="0" fillId="0" borderId="21" xfId="0" applyBorder="1"/>
    <xf numFmtId="0" fontId="7" fillId="0" borderId="0" xfId="0" applyFont="1" applyAlignment="1">
      <alignment horizontal="center"/>
    </xf>
    <xf numFmtId="10" fontId="18" fillId="0" borderId="42" xfId="13" applyNumberFormat="1" applyFont="1" applyBorder="1"/>
    <xf numFmtId="43" fontId="0" fillId="0" borderId="41" xfId="1" applyFont="1" applyBorder="1"/>
    <xf numFmtId="43" fontId="18" fillId="0" borderId="42" xfId="1" applyFont="1" applyBorder="1"/>
    <xf numFmtId="43" fontId="0" fillId="0" borderId="20" xfId="1" applyFont="1" applyBorder="1"/>
    <xf numFmtId="43" fontId="0" fillId="0" borderId="43" xfId="1" applyFont="1" applyBorder="1"/>
    <xf numFmtId="43" fontId="0" fillId="0" borderId="44" xfId="1" applyFont="1" applyBorder="1"/>
    <xf numFmtId="43" fontId="0" fillId="0" borderId="45" xfId="1" applyFont="1" applyBorder="1"/>
    <xf numFmtId="43" fontId="0" fillId="0" borderId="31" xfId="1" applyFont="1" applyBorder="1"/>
    <xf numFmtId="43" fontId="0" fillId="0" borderId="23" xfId="1" applyFont="1" applyBorder="1"/>
    <xf numFmtId="0" fontId="18" fillId="0" borderId="0" xfId="0" applyFont="1"/>
    <xf numFmtId="0" fontId="12" fillId="0" borderId="0" xfId="0" applyFont="1"/>
    <xf numFmtId="43" fontId="4" fillId="0" borderId="7" xfId="1" applyBorder="1"/>
    <xf numFmtId="0" fontId="0" fillId="0" borderId="19" xfId="0" applyBorder="1" applyAlignment="1">
      <alignment horizontal="right"/>
    </xf>
    <xf numFmtId="43" fontId="4" fillId="0" borderId="0" xfId="1" applyBorder="1"/>
    <xf numFmtId="43" fontId="4" fillId="0" borderId="8" xfId="1" applyBorder="1"/>
    <xf numFmtId="43" fontId="4" fillId="0" borderId="34" xfId="1" applyBorder="1"/>
    <xf numFmtId="43" fontId="0" fillId="0" borderId="0" xfId="1" applyFont="1" applyBorder="1"/>
    <xf numFmtId="43" fontId="18" fillId="0" borderId="18" xfId="1" applyFont="1" applyBorder="1" applyAlignment="1">
      <alignment horizontal="center"/>
    </xf>
    <xf numFmtId="43" fontId="18" fillId="0" borderId="3" xfId="1" applyFont="1" applyBorder="1" applyAlignment="1">
      <alignment horizontal="center"/>
    </xf>
    <xf numFmtId="43" fontId="18" fillId="0" borderId="26" xfId="1" applyFont="1" applyBorder="1" applyAlignment="1">
      <alignment horizontal="center"/>
    </xf>
    <xf numFmtId="49" fontId="7" fillId="0" borderId="0" xfId="0" applyNumberFormat="1" applyFont="1" applyAlignment="1">
      <alignment horizontal="center"/>
    </xf>
    <xf numFmtId="0" fontId="23" fillId="0" borderId="0" xfId="0" applyFont="1" applyAlignment="1">
      <alignment horizontal="center"/>
    </xf>
    <xf numFmtId="0" fontId="23" fillId="0" borderId="0" xfId="0" applyFont="1" applyAlignment="1">
      <alignment horizontal="center" vertical="center"/>
    </xf>
    <xf numFmtId="0" fontId="0" fillId="0" borderId="0" xfId="0" applyBorder="1" applyAlignment="1">
      <alignment horizontal="center"/>
    </xf>
    <xf numFmtId="0" fontId="23" fillId="0" borderId="0" xfId="0" applyFont="1" applyBorder="1" applyAlignment="1">
      <alignment horizontal="center"/>
    </xf>
    <xf numFmtId="43" fontId="0" fillId="0" borderId="17" xfId="1" applyFont="1" applyBorder="1"/>
    <xf numFmtId="43" fontId="0" fillId="0" borderId="6" xfId="1" applyFont="1" applyBorder="1"/>
    <xf numFmtId="43" fontId="0" fillId="0" borderId="48" xfId="1" applyFont="1" applyBorder="1"/>
    <xf numFmtId="43" fontId="4" fillId="0" borderId="11" xfId="1" applyBorder="1"/>
    <xf numFmtId="0" fontId="14" fillId="0" borderId="0" xfId="0" applyFont="1" applyAlignment="1">
      <alignment horizontal="center" vertical="center" textRotation="180" wrapText="1"/>
    </xf>
    <xf numFmtId="0" fontId="0" fillId="0" borderId="23" xfId="0" applyBorder="1" applyAlignment="1">
      <alignment horizontal="right"/>
    </xf>
    <xf numFmtId="0" fontId="0" fillId="0" borderId="49" xfId="0" applyBorder="1" applyAlignment="1">
      <alignment horizontal="right"/>
    </xf>
    <xf numFmtId="43" fontId="4" fillId="0" borderId="36" xfId="1" applyBorder="1"/>
    <xf numFmtId="0" fontId="0" fillId="0" borderId="23" xfId="0" applyBorder="1" applyAlignment="1">
      <alignment horizontal="center"/>
    </xf>
    <xf numFmtId="0" fontId="0" fillId="0" borderId="2" xfId="0" applyBorder="1" applyAlignment="1">
      <alignment horizontal="center" vertical="center" wrapText="1"/>
    </xf>
    <xf numFmtId="0" fontId="17" fillId="0" borderId="0" xfId="0" applyFont="1" applyAlignment="1">
      <alignment horizontal="right"/>
    </xf>
    <xf numFmtId="43" fontId="18" fillId="0" borderId="33" xfId="1" applyFont="1" applyBorder="1" applyAlignment="1">
      <alignment horizontal="center"/>
    </xf>
    <xf numFmtId="43" fontId="18" fillId="0" borderId="7" xfId="1" applyFont="1" applyBorder="1" applyAlignment="1">
      <alignment horizontal="center"/>
    </xf>
    <xf numFmtId="49" fontId="0" fillId="0" borderId="3" xfId="0" applyNumberFormat="1" applyBorder="1" applyAlignment="1">
      <alignment horizontal="left"/>
    </xf>
    <xf numFmtId="49" fontId="0" fillId="0" borderId="23" xfId="0" applyNumberFormat="1" applyBorder="1" applyAlignment="1">
      <alignment horizontal="center"/>
    </xf>
    <xf numFmtId="0" fontId="18" fillId="0" borderId="11" xfId="0" applyFont="1" applyBorder="1" applyAlignment="1">
      <alignment horizontal="center"/>
    </xf>
    <xf numFmtId="0" fontId="17" fillId="0" borderId="0" xfId="0" applyFont="1" applyBorder="1" applyAlignment="1">
      <alignment horizontal="center"/>
    </xf>
    <xf numFmtId="0" fontId="18" fillId="0" borderId="0" xfId="0" applyFont="1" applyBorder="1"/>
    <xf numFmtId="0" fontId="11" fillId="0" borderId="0" xfId="0" applyFont="1" applyBorder="1" applyAlignment="1">
      <alignment horizontal="right"/>
    </xf>
    <xf numFmtId="43" fontId="4" fillId="0" borderId="25" xfId="1" applyBorder="1"/>
    <xf numFmtId="49" fontId="11" fillId="0" borderId="0" xfId="0" applyNumberFormat="1" applyFont="1" applyBorder="1" applyAlignment="1">
      <alignment horizontal="left"/>
    </xf>
    <xf numFmtId="0" fontId="11" fillId="0" borderId="0" xfId="0" applyFont="1" applyBorder="1" applyAlignment="1">
      <alignment horizontal="left"/>
    </xf>
    <xf numFmtId="0" fontId="18" fillId="0" borderId="14" xfId="0" applyFont="1" applyBorder="1" applyAlignment="1">
      <alignment horizontal="center"/>
    </xf>
    <xf numFmtId="43" fontId="4" fillId="0" borderId="14" xfId="1" applyBorder="1"/>
    <xf numFmtId="43" fontId="18" fillId="0" borderId="27" xfId="1" applyFont="1" applyBorder="1" applyAlignment="1">
      <alignment horizontal="center"/>
    </xf>
    <xf numFmtId="43" fontId="18" fillId="0" borderId="24" xfId="1" applyFont="1" applyBorder="1" applyAlignment="1">
      <alignment horizontal="center"/>
    </xf>
    <xf numFmtId="43" fontId="4" fillId="0" borderId="26" xfId="1" applyBorder="1"/>
    <xf numFmtId="43" fontId="4" fillId="0" borderId="35" xfId="1" applyBorder="1"/>
    <xf numFmtId="49" fontId="17" fillId="0" borderId="0" xfId="0" applyNumberFormat="1" applyFont="1" applyAlignment="1">
      <alignment horizontal="left"/>
    </xf>
    <xf numFmtId="0" fontId="18" fillId="0" borderId="0" xfId="0" applyFont="1" applyBorder="1" applyAlignment="1">
      <alignment horizontal="center"/>
    </xf>
    <xf numFmtId="0" fontId="0" fillId="0" borderId="52" xfId="0" applyBorder="1"/>
    <xf numFmtId="43" fontId="0" fillId="0" borderId="4" xfId="1" applyFont="1" applyBorder="1"/>
    <xf numFmtId="43" fontId="18" fillId="0" borderId="4" xfId="1" applyFont="1" applyBorder="1" applyAlignment="1">
      <alignment horizontal="center"/>
    </xf>
    <xf numFmtId="43" fontId="18" fillId="0" borderId="0" xfId="1" applyFont="1" applyAlignment="1">
      <alignment horizontal="center"/>
    </xf>
    <xf numFmtId="43" fontId="18" fillId="0" borderId="6" xfId="1" applyFont="1" applyBorder="1" applyAlignment="1">
      <alignment horizontal="center"/>
    </xf>
    <xf numFmtId="43" fontId="0" fillId="0" borderId="53" xfId="1" applyFont="1" applyBorder="1"/>
    <xf numFmtId="43" fontId="18" fillId="0" borderId="32" xfId="1" applyFont="1" applyBorder="1" applyAlignment="1">
      <alignment horizontal="center"/>
    </xf>
    <xf numFmtId="0" fontId="26" fillId="0" borderId="0" xfId="0" applyFont="1"/>
    <xf numFmtId="0" fontId="0" fillId="0" borderId="54" xfId="0" applyBorder="1"/>
    <xf numFmtId="0" fontId="0" fillId="0" borderId="55" xfId="0" applyBorder="1"/>
    <xf numFmtId="0" fontId="0" fillId="0" borderId="56" xfId="0" applyBorder="1"/>
    <xf numFmtId="0" fontId="0" fillId="0" borderId="57" xfId="0" applyBorder="1"/>
    <xf numFmtId="0" fontId="0" fillId="0" borderId="58" xfId="0" applyBorder="1"/>
    <xf numFmtId="49" fontId="0" fillId="0" borderId="0" xfId="0" applyNumberFormat="1" applyBorder="1" applyAlignment="1">
      <alignment horizontal="left"/>
    </xf>
    <xf numFmtId="0" fontId="0" fillId="0" borderId="59" xfId="0" applyBorder="1"/>
    <xf numFmtId="0" fontId="0" fillId="0" borderId="60" xfId="0" applyBorder="1"/>
    <xf numFmtId="0" fontId="0" fillId="0" borderId="61" xfId="0" applyBorder="1"/>
    <xf numFmtId="49" fontId="18" fillId="0" borderId="0" xfId="0" applyNumberFormat="1" applyFont="1" applyBorder="1" applyAlignment="1">
      <alignment horizontal="left"/>
    </xf>
    <xf numFmtId="0" fontId="23" fillId="0" borderId="0" xfId="0" applyFont="1" applyBorder="1"/>
    <xf numFmtId="0" fontId="14" fillId="0" borderId="0" xfId="0" applyFont="1" applyAlignment="1">
      <alignment horizontal="center"/>
    </xf>
    <xf numFmtId="0" fontId="12" fillId="0" borderId="0" xfId="0" applyFont="1" applyAlignment="1">
      <alignment horizontal="left"/>
    </xf>
    <xf numFmtId="0" fontId="14" fillId="0" borderId="0" xfId="0" applyFont="1" applyBorder="1"/>
    <xf numFmtId="0" fontId="24" fillId="0" borderId="3" xfId="0" applyFont="1" applyBorder="1" applyAlignment="1">
      <alignment horizontal="left"/>
    </xf>
    <xf numFmtId="0" fontId="0" fillId="0" borderId="62" xfId="0" applyBorder="1"/>
    <xf numFmtId="49" fontId="0" fillId="0" borderId="62" xfId="0" applyNumberFormat="1" applyBorder="1" applyAlignment="1">
      <alignment horizontal="center" vertical="center"/>
    </xf>
    <xf numFmtId="0" fontId="0" fillId="0" borderId="62" xfId="0" applyBorder="1" applyAlignment="1">
      <alignment horizontal="center" vertical="center"/>
    </xf>
    <xf numFmtId="0" fontId="16" fillId="0" borderId="0" xfId="0" applyFont="1"/>
    <xf numFmtId="43" fontId="4" fillId="0" borderId="0" xfId="1"/>
    <xf numFmtId="0" fontId="14" fillId="0" borderId="18" xfId="0" applyFont="1" applyBorder="1" applyAlignment="1"/>
    <xf numFmtId="0" fontId="0" fillId="0" borderId="65" xfId="0" applyBorder="1"/>
    <xf numFmtId="49" fontId="17" fillId="0" borderId="0" xfId="0" applyNumberFormat="1" applyFont="1"/>
    <xf numFmtId="0" fontId="17" fillId="0" borderId="0" xfId="0" applyFont="1" applyAlignment="1">
      <alignment horizontal="left"/>
    </xf>
    <xf numFmtId="49" fontId="0" fillId="0" borderId="0" xfId="0" applyNumberFormat="1" applyAlignment="1"/>
    <xf numFmtId="0" fontId="0" fillId="0" borderId="0" xfId="0" applyAlignment="1"/>
    <xf numFmtId="43" fontId="18" fillId="0" borderId="28" xfId="1" applyFont="1" applyBorder="1" applyAlignment="1">
      <alignment horizontal="center"/>
    </xf>
    <xf numFmtId="43" fontId="0" fillId="0" borderId="56" xfId="0" applyNumberFormat="1" applyBorder="1"/>
    <xf numFmtId="43" fontId="21" fillId="0" borderId="36" xfId="1" applyFont="1" applyBorder="1" applyAlignment="1"/>
    <xf numFmtId="0" fontId="0" fillId="0" borderId="0" xfId="0" applyAlignment="1">
      <alignment horizontal="center" vertical="top"/>
    </xf>
    <xf numFmtId="0" fontId="0" fillId="0" borderId="15" xfId="0" applyBorder="1" applyAlignment="1">
      <alignment horizontal="center" vertical="top"/>
    </xf>
    <xf numFmtId="49" fontId="17" fillId="0" borderId="0" xfId="0" applyNumberFormat="1" applyFont="1" applyAlignment="1">
      <alignment horizontal="right"/>
    </xf>
    <xf numFmtId="8" fontId="17" fillId="0" borderId="0" xfId="0" applyNumberFormat="1" applyFont="1"/>
    <xf numFmtId="0" fontId="39" fillId="0" borderId="0" xfId="0" applyFont="1"/>
    <xf numFmtId="49" fontId="39" fillId="0" borderId="0" xfId="0" applyNumberFormat="1" applyFont="1" applyBorder="1" applyAlignment="1">
      <alignment horizontal="left"/>
    </xf>
    <xf numFmtId="0" fontId="39" fillId="0" borderId="0" xfId="0" applyFont="1" applyBorder="1"/>
    <xf numFmtId="0" fontId="39" fillId="0" borderId="0" xfId="0" applyFont="1" applyBorder="1" applyAlignment="1">
      <alignment horizontal="right"/>
    </xf>
    <xf numFmtId="0" fontId="39" fillId="0" borderId="0" xfId="0" applyFont="1" applyBorder="1" applyAlignment="1">
      <alignment horizontal="left"/>
    </xf>
    <xf numFmtId="49" fontId="17" fillId="0" borderId="0" xfId="0" applyNumberFormat="1" applyFont="1" applyAlignment="1"/>
    <xf numFmtId="0" fontId="17" fillId="0" borderId="0" xfId="0" applyFont="1" applyAlignment="1"/>
    <xf numFmtId="43" fontId="0" fillId="0" borderId="3" xfId="1" applyFont="1" applyBorder="1" applyAlignment="1">
      <alignment horizontal="center"/>
    </xf>
    <xf numFmtId="43" fontId="0" fillId="0" borderId="32" xfId="1" applyFont="1" applyBorder="1"/>
    <xf numFmtId="43" fontId="14" fillId="0" borderId="3" xfId="1" applyFont="1" applyBorder="1"/>
    <xf numFmtId="43" fontId="14" fillId="0" borderId="34" xfId="1" applyFont="1" applyBorder="1"/>
    <xf numFmtId="43" fontId="14" fillId="0" borderId="33" xfId="1" applyFont="1" applyBorder="1"/>
    <xf numFmtId="43" fontId="14" fillId="0" borderId="18" xfId="1" applyFont="1" applyBorder="1"/>
    <xf numFmtId="43" fontId="14" fillId="0" borderId="25" xfId="1" applyFont="1" applyBorder="1"/>
    <xf numFmtId="43" fontId="14" fillId="0" borderId="11" xfId="1" applyFont="1" applyBorder="1"/>
    <xf numFmtId="43" fontId="14" fillId="0" borderId="8" xfId="1" applyFont="1" applyBorder="1"/>
    <xf numFmtId="43" fontId="14" fillId="0" borderId="28" xfId="1" applyFont="1" applyBorder="1"/>
    <xf numFmtId="43" fontId="14" fillId="0" borderId="30" xfId="1" applyFont="1" applyBorder="1"/>
    <xf numFmtId="43" fontId="14" fillId="0" borderId="64" xfId="1" applyFont="1" applyBorder="1"/>
    <xf numFmtId="43" fontId="14" fillId="0" borderId="33" xfId="1" applyFont="1" applyBorder="1" applyAlignment="1"/>
    <xf numFmtId="43" fontId="14" fillId="0" borderId="47" xfId="1" applyFont="1" applyBorder="1" applyAlignment="1"/>
    <xf numFmtId="43" fontId="14" fillId="0" borderId="50" xfId="1" applyFont="1" applyBorder="1"/>
    <xf numFmtId="43" fontId="14" fillId="0" borderId="14" xfId="1" applyFont="1" applyBorder="1"/>
    <xf numFmtId="43" fontId="0" fillId="0" borderId="0" xfId="0" applyNumberFormat="1"/>
    <xf numFmtId="49" fontId="18" fillId="0" borderId="18" xfId="0" applyNumberFormat="1" applyFont="1" applyBorder="1" applyAlignment="1">
      <alignment horizontal="left"/>
    </xf>
    <xf numFmtId="43" fontId="14" fillId="0" borderId="0" xfId="1" applyFont="1"/>
    <xf numFmtId="43" fontId="14" fillId="0" borderId="26" xfId="1" applyFont="1" applyBorder="1"/>
    <xf numFmtId="43" fontId="14" fillId="0" borderId="82" xfId="1" applyFont="1" applyBorder="1"/>
    <xf numFmtId="43" fontId="14" fillId="0" borderId="35" xfId="1" applyFont="1" applyBorder="1"/>
    <xf numFmtId="43" fontId="14" fillId="0" borderId="12" xfId="1" applyFont="1" applyBorder="1"/>
    <xf numFmtId="43" fontId="14" fillId="0" borderId="36" xfId="1" applyFont="1" applyBorder="1"/>
    <xf numFmtId="0" fontId="14" fillId="0" borderId="15" xfId="0" applyFont="1" applyBorder="1"/>
    <xf numFmtId="43" fontId="14" fillId="0" borderId="83" xfId="1" applyFont="1" applyBorder="1"/>
    <xf numFmtId="43" fontId="14" fillId="0" borderId="84" xfId="1" applyFont="1" applyBorder="1"/>
    <xf numFmtId="43" fontId="14" fillId="0" borderId="23" xfId="1" applyFont="1" applyBorder="1"/>
    <xf numFmtId="43" fontId="0" fillId="0" borderId="86" xfId="1" applyFont="1" applyBorder="1"/>
    <xf numFmtId="43" fontId="0" fillId="0" borderId="87" xfId="1" applyFont="1" applyBorder="1"/>
    <xf numFmtId="0" fontId="40" fillId="0" borderId="0" xfId="0" applyFont="1"/>
    <xf numFmtId="0" fontId="0" fillId="0" borderId="52" xfId="0" applyBorder="1" applyAlignment="1">
      <alignment horizontal="right"/>
    </xf>
    <xf numFmtId="0" fontId="0" fillId="0" borderId="12" xfId="0" applyBorder="1" applyAlignment="1">
      <alignment horizontal="center"/>
    </xf>
    <xf numFmtId="43" fontId="4" fillId="0" borderId="12" xfId="1" applyBorder="1"/>
    <xf numFmtId="0" fontId="0" fillId="0" borderId="0" xfId="0" applyFill="1"/>
    <xf numFmtId="43" fontId="0" fillId="0" borderId="7" xfId="1" applyFont="1" applyFill="1" applyBorder="1"/>
    <xf numFmtId="10" fontId="0" fillId="0" borderId="0" xfId="13" applyNumberFormat="1" applyFont="1"/>
    <xf numFmtId="49" fontId="0" fillId="0" borderId="0" xfId="0" quotePrefix="1" applyNumberFormat="1" applyAlignment="1">
      <alignment horizontal="center"/>
    </xf>
    <xf numFmtId="0" fontId="23" fillId="0" borderId="0" xfId="0" applyFont="1" applyFill="1" applyAlignment="1">
      <alignment horizontal="center"/>
    </xf>
    <xf numFmtId="43" fontId="4" fillId="0" borderId="26" xfId="1" applyFill="1" applyBorder="1"/>
    <xf numFmtId="165" fontId="0" fillId="0" borderId="0" xfId="0" applyNumberFormat="1"/>
    <xf numFmtId="168" fontId="0" fillId="0" borderId="0" xfId="0" applyNumberFormat="1"/>
    <xf numFmtId="167" fontId="0" fillId="0" borderId="0" xfId="0" applyNumberFormat="1"/>
    <xf numFmtId="0" fontId="0" fillId="0" borderId="10" xfId="0" applyFill="1" applyBorder="1" applyAlignment="1">
      <alignment horizontal="center"/>
    </xf>
    <xf numFmtId="43" fontId="0" fillId="0" borderId="0" xfId="0" applyNumberFormat="1" applyFill="1"/>
    <xf numFmtId="0" fontId="0" fillId="0" borderId="23" xfId="0" applyFill="1" applyBorder="1"/>
    <xf numFmtId="0" fontId="0" fillId="0" borderId="0" xfId="0" applyFill="1" applyBorder="1"/>
    <xf numFmtId="0" fontId="0" fillId="0" borderId="2" xfId="0" applyFill="1" applyBorder="1" applyAlignment="1">
      <alignment horizontal="center" vertical="center"/>
    </xf>
    <xf numFmtId="0" fontId="0" fillId="0" borderId="1" xfId="0" applyFill="1" applyBorder="1" applyAlignment="1">
      <alignment horizontal="center" vertical="center"/>
    </xf>
    <xf numFmtId="43" fontId="4" fillId="0" borderId="4" xfId="1" applyFill="1" applyBorder="1"/>
    <xf numFmtId="43" fontId="4" fillId="0" borderId="0" xfId="1" applyFill="1"/>
    <xf numFmtId="43" fontId="4" fillId="0" borderId="3" xfId="1" applyFill="1" applyBorder="1"/>
    <xf numFmtId="43" fontId="18" fillId="0" borderId="3" xfId="1" applyFont="1" applyFill="1" applyBorder="1" applyAlignment="1">
      <alignment horizontal="center"/>
    </xf>
    <xf numFmtId="0" fontId="0" fillId="0" borderId="13" xfId="0" applyFill="1" applyBorder="1"/>
    <xf numFmtId="0" fontId="0" fillId="0" borderId="16" xfId="0" applyFill="1" applyBorder="1" applyAlignment="1">
      <alignment horizontal="center"/>
    </xf>
    <xf numFmtId="0" fontId="0" fillId="0" borderId="14" xfId="0" applyFill="1" applyBorder="1"/>
    <xf numFmtId="43" fontId="14" fillId="0" borderId="26" xfId="1" applyFont="1" applyFill="1" applyBorder="1"/>
    <xf numFmtId="43" fontId="14" fillId="0" borderId="32" xfId="1" applyFont="1" applyFill="1" applyBorder="1"/>
    <xf numFmtId="43" fontId="14" fillId="0" borderId="87" xfId="1" applyFont="1" applyFill="1" applyBorder="1"/>
    <xf numFmtId="43" fontId="0" fillId="0" borderId="3" xfId="1" applyFont="1" applyFill="1" applyBorder="1"/>
    <xf numFmtId="43" fontId="0" fillId="0" borderId="26" xfId="1" applyFont="1" applyFill="1" applyBorder="1"/>
    <xf numFmtId="43" fontId="4" fillId="0" borderId="0" xfId="0" applyNumberFormat="1" applyFont="1"/>
    <xf numFmtId="43" fontId="4" fillId="0" borderId="0" xfId="0" applyNumberFormat="1" applyFont="1" applyFill="1"/>
    <xf numFmtId="0" fontId="0" fillId="0" borderId="0" xfId="0"/>
    <xf numFmtId="0" fontId="4" fillId="0" borderId="0" xfId="0" applyFont="1"/>
    <xf numFmtId="0" fontId="0" fillId="0" borderId="0" xfId="0" applyFill="1"/>
    <xf numFmtId="0" fontId="14" fillId="0" borderId="0" xfId="38"/>
    <xf numFmtId="0" fontId="0" fillId="0" borderId="26" xfId="0" applyFill="1" applyBorder="1" applyAlignment="1"/>
    <xf numFmtId="0" fontId="0" fillId="0" borderId="0" xfId="0"/>
    <xf numFmtId="0" fontId="0" fillId="0" borderId="3" xfId="0" applyBorder="1"/>
    <xf numFmtId="0" fontId="0" fillId="0" borderId="10" xfId="0" applyBorder="1" applyAlignment="1">
      <alignment horizontal="center"/>
    </xf>
    <xf numFmtId="0" fontId="0" fillId="0" borderId="18" xfId="0" applyBorder="1"/>
    <xf numFmtId="0" fontId="0" fillId="0" borderId="26" xfId="0" applyBorder="1"/>
    <xf numFmtId="0" fontId="4" fillId="0" borderId="0" xfId="0" applyFont="1"/>
    <xf numFmtId="0" fontId="0" fillId="0" borderId="0" xfId="0" applyBorder="1"/>
    <xf numFmtId="43" fontId="0" fillId="0" borderId="0" xfId="1" applyFont="1"/>
    <xf numFmtId="0" fontId="14" fillId="0" borderId="0" xfId="0" applyFont="1"/>
    <xf numFmtId="0" fontId="17" fillId="0" borderId="0" xfId="0" applyFont="1"/>
    <xf numFmtId="0" fontId="23" fillId="0" borderId="0" xfId="0" applyFont="1" applyAlignment="1">
      <alignment horizontal="center"/>
    </xf>
    <xf numFmtId="43" fontId="0" fillId="0" borderId="0" xfId="0" applyNumberFormat="1"/>
    <xf numFmtId="43" fontId="4" fillId="0" borderId="7" xfId="1" applyFill="1" applyBorder="1"/>
    <xf numFmtId="0" fontId="14" fillId="0" borderId="0" xfId="38"/>
    <xf numFmtId="14" fontId="23" fillId="0" borderId="0" xfId="0" applyNumberFormat="1" applyFont="1" applyBorder="1" applyAlignment="1">
      <alignment horizontal="center"/>
    </xf>
    <xf numFmtId="0" fontId="23" fillId="0" borderId="0" xfId="0" applyNumberFormat="1" applyFont="1" applyAlignment="1">
      <alignment horizontal="left"/>
    </xf>
    <xf numFmtId="0" fontId="0" fillId="0" borderId="0" xfId="0" applyNumberFormat="1" applyAlignment="1">
      <alignment horizontal="left"/>
    </xf>
    <xf numFmtId="14" fontId="0" fillId="0" borderId="0" xfId="0" applyNumberFormat="1" applyAlignment="1">
      <alignment horizontal="center"/>
    </xf>
    <xf numFmtId="14" fontId="0" fillId="0" borderId="16" xfId="0" applyNumberFormat="1" applyBorder="1" applyAlignment="1">
      <alignment horizontal="center"/>
    </xf>
    <xf numFmtId="14" fontId="0" fillId="0" borderId="10" xfId="0" applyNumberFormat="1" applyBorder="1" applyAlignment="1">
      <alignment horizontal="center"/>
    </xf>
    <xf numFmtId="14" fontId="0" fillId="0" borderId="16" xfId="0" applyNumberFormat="1" applyFill="1" applyBorder="1" applyAlignment="1">
      <alignment horizontal="center"/>
    </xf>
    <xf numFmtId="0" fontId="4" fillId="0" borderId="3" xfId="0" quotePrefix="1" applyFont="1" applyBorder="1"/>
    <xf numFmtId="1" fontId="4" fillId="0" borderId="0" xfId="19" applyNumberFormat="1" applyAlignment="1">
      <alignment horizontal="center"/>
    </xf>
    <xf numFmtId="0" fontId="4" fillId="0" borderId="3" xfId="19" applyBorder="1"/>
    <xf numFmtId="14" fontId="11" fillId="0" borderId="0" xfId="0" applyNumberFormat="1" applyFont="1" applyAlignment="1">
      <alignment horizontal="center"/>
    </xf>
    <xf numFmtId="14" fontId="0" fillId="0" borderId="11" xfId="0" applyNumberFormat="1" applyBorder="1" applyAlignment="1">
      <alignment horizontal="center"/>
    </xf>
    <xf numFmtId="14" fontId="0" fillId="0" borderId="15" xfId="0" applyNumberFormat="1" applyBorder="1" applyAlignment="1">
      <alignment horizontal="center"/>
    </xf>
    <xf numFmtId="0" fontId="17" fillId="0" borderId="0" xfId="0" applyNumberFormat="1" applyFont="1" applyAlignment="1">
      <alignment horizontal="left"/>
    </xf>
    <xf numFmtId="43" fontId="0" fillId="0" borderId="20" xfId="1" applyFont="1" applyFill="1" applyBorder="1"/>
    <xf numFmtId="43" fontId="14" fillId="0" borderId="27" xfId="1" applyFont="1" applyFill="1" applyBorder="1"/>
    <xf numFmtId="43" fontId="18" fillId="0" borderId="7" xfId="1" applyFont="1" applyFill="1" applyBorder="1" applyAlignment="1">
      <alignment horizontal="center"/>
    </xf>
    <xf numFmtId="43" fontId="14" fillId="0" borderId="3" xfId="1" applyFont="1" applyFill="1" applyBorder="1"/>
    <xf numFmtId="43" fontId="0" fillId="0" borderId="0" xfId="0" applyNumberFormat="1"/>
    <xf numFmtId="0" fontId="0" fillId="0" borderId="0" xfId="0" applyAlignment="1">
      <alignment horizontal="center"/>
    </xf>
    <xf numFmtId="43" fontId="14" fillId="0" borderId="36" xfId="1" applyFont="1" applyFill="1" applyBorder="1"/>
    <xf numFmtId="43" fontId="18" fillId="0" borderId="27" xfId="1" applyFont="1" applyFill="1" applyBorder="1" applyAlignment="1">
      <alignment horizontal="center"/>
    </xf>
    <xf numFmtId="43" fontId="18" fillId="0" borderId="6" xfId="1" applyFont="1" applyFill="1" applyBorder="1" applyAlignment="1">
      <alignment horizontal="center"/>
    </xf>
    <xf numFmtId="43" fontId="4" fillId="0" borderId="48" xfId="1" applyFont="1" applyFill="1" applyBorder="1"/>
    <xf numFmtId="0" fontId="0" fillId="0" borderId="0" xfId="0"/>
    <xf numFmtId="0" fontId="4" fillId="0" borderId="31" xfId="0" applyFont="1" applyBorder="1"/>
    <xf numFmtId="43" fontId="4" fillId="0" borderId="17" xfId="1" applyFont="1" applyFill="1" applyBorder="1"/>
    <xf numFmtId="0" fontId="4" fillId="0" borderId="0" xfId="69" applyFont="1" applyFill="1" applyBorder="1" applyAlignment="1">
      <alignment horizontal="left"/>
    </xf>
    <xf numFmtId="0" fontId="0" fillId="0" borderId="0" xfId="0"/>
    <xf numFmtId="0" fontId="0" fillId="0" borderId="3" xfId="0" applyBorder="1"/>
    <xf numFmtId="0" fontId="4" fillId="0" borderId="0" xfId="0" applyFont="1"/>
    <xf numFmtId="43" fontId="0" fillId="0" borderId="0" xfId="0" applyNumberFormat="1"/>
    <xf numFmtId="0" fontId="4" fillId="0" borderId="3" xfId="0" applyFont="1" applyBorder="1"/>
    <xf numFmtId="43" fontId="0" fillId="0" borderId="0" xfId="0" applyNumberFormat="1" applyFill="1"/>
    <xf numFmtId="0" fontId="4" fillId="0" borderId="23" xfId="0" applyFont="1" applyBorder="1"/>
    <xf numFmtId="0" fontId="24" fillId="0" borderId="0" xfId="0" applyFont="1" applyAlignment="1">
      <alignment horizontal="center" vertical="center" textRotation="180" wrapText="1"/>
    </xf>
    <xf numFmtId="0" fontId="14" fillId="0" borderId="23" xfId="0" applyFont="1" applyBorder="1"/>
    <xf numFmtId="0" fontId="4" fillId="0" borderId="0" xfId="19"/>
    <xf numFmtId="43" fontId="4" fillId="0" borderId="22" xfId="1" applyFont="1" applyBorder="1"/>
    <xf numFmtId="0" fontId="4" fillId="0" borderId="0" xfId="68" applyFont="1" applyFill="1" applyBorder="1" applyAlignment="1">
      <alignment horizontal="left"/>
    </xf>
    <xf numFmtId="0" fontId="4" fillId="0" borderId="3" xfId="19" applyBorder="1"/>
    <xf numFmtId="43" fontId="14" fillId="0" borderId="7" xfId="1" applyFont="1" applyBorder="1"/>
    <xf numFmtId="43" fontId="14" fillId="0" borderId="29" xfId="1" applyFont="1" applyBorder="1"/>
    <xf numFmtId="43" fontId="14" fillId="0" borderId="7" xfId="1" applyFont="1" applyFill="1" applyBorder="1"/>
    <xf numFmtId="43" fontId="4" fillId="0" borderId="0" xfId="1" applyFont="1" applyFill="1"/>
    <xf numFmtId="0" fontId="25" fillId="0" borderId="0" xfId="0" applyFont="1" applyFill="1" applyAlignment="1">
      <alignment horizontal="center"/>
    </xf>
    <xf numFmtId="0" fontId="0" fillId="0" borderId="8" xfId="0" applyFill="1" applyBorder="1"/>
    <xf numFmtId="43" fontId="18" fillId="0" borderId="18" xfId="1" applyFont="1" applyFill="1" applyBorder="1" applyAlignment="1">
      <alignment horizontal="center"/>
    </xf>
    <xf numFmtId="43" fontId="18" fillId="0" borderId="32" xfId="1" applyFont="1" applyFill="1" applyBorder="1" applyAlignment="1">
      <alignment horizontal="center"/>
    </xf>
    <xf numFmtId="43" fontId="14" fillId="0" borderId="11" xfId="1" applyFont="1" applyFill="1" applyBorder="1"/>
    <xf numFmtId="43" fontId="14" fillId="0" borderId="8" xfId="1" applyFont="1" applyFill="1" applyBorder="1"/>
    <xf numFmtId="0" fontId="4" fillId="0" borderId="0" xfId="0" applyFont="1" applyFill="1" applyBorder="1"/>
    <xf numFmtId="0" fontId="5" fillId="0" borderId="0" xfId="0" applyFont="1" applyFill="1" applyBorder="1" applyAlignment="1">
      <alignment horizontal="center"/>
    </xf>
    <xf numFmtId="0" fontId="0" fillId="0" borderId="18" xfId="0" applyFill="1" applyBorder="1"/>
    <xf numFmtId="43" fontId="24" fillId="0" borderId="28" xfId="1" applyFont="1" applyFill="1" applyBorder="1"/>
    <xf numFmtId="0" fontId="0" fillId="0" borderId="3" xfId="0" applyFill="1" applyBorder="1"/>
    <xf numFmtId="43" fontId="14" fillId="0" borderId="29" xfId="1" applyFont="1" applyFill="1" applyBorder="1"/>
    <xf numFmtId="0" fontId="0" fillId="0" borderId="0" xfId="0" quotePrefix="1" applyFill="1" applyBorder="1"/>
    <xf numFmtId="43" fontId="0" fillId="0" borderId="0" xfId="0" applyNumberFormat="1" applyFill="1" applyBorder="1"/>
    <xf numFmtId="0" fontId="21" fillId="0" borderId="0" xfId="0" applyFont="1" applyFill="1" applyBorder="1"/>
    <xf numFmtId="43" fontId="14" fillId="0" borderId="30" xfId="1" applyFont="1" applyFill="1" applyBorder="1"/>
    <xf numFmtId="0" fontId="43" fillId="0" borderId="0" xfId="0" applyFont="1" applyFill="1"/>
    <xf numFmtId="0" fontId="43" fillId="0" borderId="0" xfId="0" applyFont="1" applyFill="1" applyAlignment="1">
      <alignment horizontal="center"/>
    </xf>
    <xf numFmtId="43" fontId="43" fillId="0" borderId="0" xfId="0" applyNumberFormat="1" applyFont="1" applyFill="1"/>
    <xf numFmtId="0" fontId="0" fillId="0" borderId="0" xfId="0" applyFill="1" applyAlignment="1">
      <alignment horizontal="right"/>
    </xf>
    <xf numFmtId="43" fontId="0" fillId="0" borderId="8" xfId="1" applyFont="1" applyFill="1" applyBorder="1"/>
    <xf numFmtId="0" fontId="4" fillId="0" borderId="0" xfId="0" applyFont="1" applyFill="1"/>
    <xf numFmtId="43" fontId="14" fillId="0" borderId="4" xfId="1" applyFont="1" applyFill="1" applyBorder="1"/>
    <xf numFmtId="43" fontId="14" fillId="0" borderId="86" xfId="1" applyFont="1" applyFill="1" applyBorder="1"/>
    <xf numFmtId="0" fontId="0" fillId="0" borderId="0" xfId="0" applyAlignment="1">
      <alignment horizontal="center"/>
    </xf>
    <xf numFmtId="43" fontId="18" fillId="0" borderId="29" xfId="1" applyFont="1" applyBorder="1" applyAlignment="1">
      <alignment horizontal="center"/>
    </xf>
    <xf numFmtId="0" fontId="4" fillId="0" borderId="0" xfId="0" applyFont="1" applyBorder="1"/>
    <xf numFmtId="14" fontId="4" fillId="0" borderId="92" xfId="0" applyNumberFormat="1" applyFont="1" applyFill="1" applyBorder="1"/>
    <xf numFmtId="1" fontId="4" fillId="0" borderId="92" xfId="0" applyNumberFormat="1" applyFont="1" applyFill="1" applyBorder="1"/>
    <xf numFmtId="49" fontId="4" fillId="0" borderId="92" xfId="0" quotePrefix="1" applyNumberFormat="1" applyFont="1" applyFill="1" applyBorder="1" applyAlignment="1">
      <alignment horizontal="center"/>
    </xf>
    <xf numFmtId="0" fontId="0" fillId="2" borderId="93" xfId="0" applyNumberFormat="1" applyFill="1" applyBorder="1" applyAlignment="1" applyProtection="1">
      <alignment horizontal="center"/>
      <protection locked="0"/>
    </xf>
    <xf numFmtId="0" fontId="0" fillId="0" borderId="93" xfId="0" applyNumberFormat="1" applyFill="1" applyBorder="1" applyAlignment="1">
      <alignment horizontal="center"/>
    </xf>
    <xf numFmtId="37" fontId="0" fillId="0" borderId="92" xfId="0" applyNumberFormat="1" applyFill="1" applyBorder="1" applyAlignment="1">
      <alignment horizontal="center"/>
    </xf>
    <xf numFmtId="43" fontId="14" fillId="2" borderId="7" xfId="1" applyFont="1" applyFill="1" applyBorder="1" applyProtection="1">
      <protection locked="0"/>
    </xf>
    <xf numFmtId="43" fontId="14" fillId="0" borderId="7" xfId="1" applyFont="1" applyFill="1" applyBorder="1" applyProtection="1">
      <protection locked="0"/>
    </xf>
    <xf numFmtId="43" fontId="0" fillId="2" borderId="7" xfId="1" applyFont="1" applyFill="1" applyBorder="1" applyProtection="1">
      <protection locked="0"/>
    </xf>
    <xf numFmtId="0" fontId="0" fillId="2" borderId="26" xfId="0" applyFill="1" applyBorder="1" applyProtection="1">
      <protection locked="0"/>
    </xf>
    <xf numFmtId="43" fontId="4" fillId="2" borderId="26" xfId="1" applyFill="1" applyBorder="1" applyProtection="1">
      <protection locked="0"/>
    </xf>
    <xf numFmtId="0" fontId="56" fillId="0" borderId="0" xfId="0" applyFont="1"/>
    <xf numFmtId="0" fontId="0" fillId="0" borderId="26" xfId="0" applyBorder="1" applyProtection="1">
      <protection locked="0"/>
    </xf>
    <xf numFmtId="0" fontId="0" fillId="0" borderId="0" xfId="0" applyProtection="1">
      <protection locked="0"/>
    </xf>
    <xf numFmtId="0" fontId="0" fillId="0" borderId="3" xfId="0" applyBorder="1" applyProtection="1">
      <protection locked="0"/>
    </xf>
    <xf numFmtId="0" fontId="0" fillId="0" borderId="18" xfId="0" applyBorder="1" applyProtection="1"/>
    <xf numFmtId="0" fontId="0" fillId="0" borderId="19" xfId="0" applyBorder="1" applyProtection="1"/>
    <xf numFmtId="0" fontId="0" fillId="0" borderId="3" xfId="0" applyBorder="1" applyProtection="1"/>
    <xf numFmtId="0" fontId="0" fillId="0" borderId="20" xfId="0" applyBorder="1" applyProtection="1"/>
    <xf numFmtId="0" fontId="57" fillId="0" borderId="0" xfId="0" applyFont="1"/>
    <xf numFmtId="0" fontId="58" fillId="0" borderId="0" xfId="0" applyFont="1" applyAlignment="1" applyProtection="1">
      <alignment horizontal="left"/>
    </xf>
    <xf numFmtId="0" fontId="58" fillId="0" borderId="0" xfId="0" quotePrefix="1" applyFont="1" applyAlignment="1">
      <alignment horizontal="left"/>
    </xf>
    <xf numFmtId="0" fontId="58" fillId="0" borderId="0" xfId="0" quotePrefix="1" applyFont="1" applyAlignment="1" applyProtection="1">
      <alignment horizontal="left"/>
    </xf>
    <xf numFmtId="0" fontId="58" fillId="0" borderId="0" xfId="0" applyFont="1" applyFill="1" applyAlignment="1" applyProtection="1">
      <alignment horizontal="left"/>
    </xf>
    <xf numFmtId="0" fontId="4" fillId="0" borderId="94" xfId="0" applyFont="1" applyFill="1" applyBorder="1"/>
    <xf numFmtId="0" fontId="0" fillId="0" borderId="92" xfId="0" applyFill="1" applyBorder="1"/>
    <xf numFmtId="3" fontId="0" fillId="0" borderId="0" xfId="0" applyNumberFormat="1"/>
    <xf numFmtId="0" fontId="4" fillId="0" borderId="92" xfId="0" applyFont="1" applyFill="1" applyBorder="1"/>
    <xf numFmtId="14" fontId="0" fillId="0" borderId="92" xfId="0" applyNumberFormat="1" applyFill="1" applyBorder="1" applyAlignment="1">
      <alignment horizontal="center"/>
    </xf>
    <xf numFmtId="0" fontId="0" fillId="2" borderId="92" xfId="0" applyFill="1" applyBorder="1" applyProtection="1">
      <protection locked="0"/>
    </xf>
    <xf numFmtId="14" fontId="0" fillId="2" borderId="92" xfId="0" applyNumberFormat="1" applyFill="1" applyBorder="1" applyProtection="1">
      <protection locked="0"/>
    </xf>
    <xf numFmtId="0" fontId="0" fillId="2" borderId="0" xfId="0" applyFill="1" applyProtection="1">
      <protection locked="0"/>
    </xf>
    <xf numFmtId="0" fontId="4" fillId="0" borderId="0" xfId="19" applyFill="1"/>
    <xf numFmtId="43" fontId="4" fillId="0" borderId="0" xfId="19" applyNumberFormat="1" applyFill="1"/>
    <xf numFmtId="0" fontId="4" fillId="0" borderId="0" xfId="19" applyFill="1" applyAlignment="1">
      <alignment horizontal="center"/>
    </xf>
    <xf numFmtId="43" fontId="4" fillId="0" borderId="11" xfId="1" applyFill="1" applyBorder="1"/>
    <xf numFmtId="0" fontId="4" fillId="0" borderId="3" xfId="19" applyFill="1" applyBorder="1"/>
    <xf numFmtId="0" fontId="4" fillId="0" borderId="2" xfId="19" applyFill="1" applyBorder="1" applyAlignment="1">
      <alignment horizontal="center" vertical="center"/>
    </xf>
    <xf numFmtId="43" fontId="14" fillId="0" borderId="12" xfId="1" applyFont="1" applyFill="1" applyBorder="1"/>
    <xf numFmtId="43" fontId="14" fillId="0" borderId="83" xfId="1" applyFont="1" applyFill="1" applyBorder="1"/>
    <xf numFmtId="0" fontId="4" fillId="0" borderId="3" xfId="19" applyFont="1" applyFill="1" applyBorder="1"/>
    <xf numFmtId="0" fontId="18" fillId="0" borderId="3" xfId="19" applyFont="1" applyFill="1" applyBorder="1"/>
    <xf numFmtId="0" fontId="4" fillId="0" borderId="0" xfId="19" applyAlignment="1">
      <alignment horizontal="center"/>
    </xf>
    <xf numFmtId="0" fontId="4" fillId="0" borderId="1" xfId="19" applyBorder="1" applyAlignment="1">
      <alignment horizontal="center" vertical="center"/>
    </xf>
    <xf numFmtId="0" fontId="4" fillId="0" borderId="2" xfId="19" applyBorder="1" applyAlignment="1">
      <alignment horizontal="center" vertical="center"/>
    </xf>
    <xf numFmtId="0" fontId="11" fillId="0" borderId="0" xfId="19" applyFont="1"/>
    <xf numFmtId="0" fontId="4" fillId="0" borderId="31" xfId="19" applyBorder="1"/>
    <xf numFmtId="0" fontId="4" fillId="0" borderId="23" xfId="19" applyBorder="1"/>
    <xf numFmtId="0" fontId="4" fillId="0" borderId="20" xfId="19" applyBorder="1"/>
    <xf numFmtId="0" fontId="4" fillId="0" borderId="18" xfId="19" applyBorder="1"/>
    <xf numFmtId="0" fontId="4" fillId="0" borderId="14" xfId="19" applyBorder="1"/>
    <xf numFmtId="0" fontId="4" fillId="0" borderId="12" xfId="19" applyBorder="1"/>
    <xf numFmtId="0" fontId="4" fillId="0" borderId="11" xfId="19" applyBorder="1"/>
    <xf numFmtId="0" fontId="4" fillId="0" borderId="11" xfId="19" applyBorder="1" applyAlignment="1">
      <alignment horizontal="center"/>
    </xf>
    <xf numFmtId="0" fontId="4" fillId="0" borderId="8" xfId="19" applyBorder="1"/>
    <xf numFmtId="0" fontId="4" fillId="0" borderId="15" xfId="19" applyBorder="1" applyAlignment="1">
      <alignment horizontal="center"/>
    </xf>
    <xf numFmtId="0" fontId="4" fillId="0" borderId="10" xfId="19" applyBorder="1" applyAlignment="1">
      <alignment horizontal="center"/>
    </xf>
    <xf numFmtId="0" fontId="4" fillId="0" borderId="16" xfId="19" applyBorder="1" applyAlignment="1">
      <alignment horizontal="center"/>
    </xf>
    <xf numFmtId="0" fontId="4" fillId="0" borderId="13" xfId="19" applyBorder="1"/>
    <xf numFmtId="0" fontId="4" fillId="0" borderId="9" xfId="19" applyBorder="1"/>
    <xf numFmtId="0" fontId="4" fillId="0" borderId="4" xfId="19" applyBorder="1" applyAlignment="1">
      <alignment horizontal="center"/>
    </xf>
    <xf numFmtId="0" fontId="11" fillId="0" borderId="0" xfId="19" applyFont="1" applyFill="1"/>
    <xf numFmtId="43" fontId="4" fillId="0" borderId="35" xfId="1" applyFont="1" applyFill="1" applyBorder="1" applyAlignment="1"/>
    <xf numFmtId="43" fontId="4" fillId="0" borderId="20" xfId="1" applyFont="1" applyFill="1" applyBorder="1" applyAlignment="1"/>
    <xf numFmtId="0" fontId="4" fillId="0" borderId="3" xfId="19" applyFont="1" applyFill="1" applyBorder="1" applyAlignment="1"/>
    <xf numFmtId="43" fontId="4" fillId="0" borderId="5" xfId="1" applyFont="1" applyFill="1" applyBorder="1" applyAlignment="1"/>
    <xf numFmtId="43" fontId="4" fillId="0" borderId="74" xfId="1" applyFont="1" applyFill="1" applyBorder="1" applyAlignment="1"/>
    <xf numFmtId="43" fontId="4" fillId="0" borderId="26" xfId="1" applyFont="1" applyFill="1" applyBorder="1" applyAlignment="1"/>
    <xf numFmtId="43" fontId="4" fillId="0" borderId="15" xfId="1" applyFont="1" applyFill="1" applyBorder="1" applyAlignment="1"/>
    <xf numFmtId="43" fontId="4" fillId="0" borderId="53" xfId="1" applyFont="1" applyFill="1" applyBorder="1" applyAlignment="1"/>
    <xf numFmtId="43" fontId="4" fillId="0" borderId="41" xfId="1" applyFont="1" applyFill="1" applyBorder="1" applyAlignment="1"/>
    <xf numFmtId="0" fontId="4" fillId="0" borderId="26" xfId="19" applyFont="1" applyFill="1" applyBorder="1" applyAlignment="1"/>
    <xf numFmtId="0" fontId="14" fillId="0" borderId="26" xfId="19" applyFont="1" applyFill="1" applyBorder="1" applyAlignment="1"/>
    <xf numFmtId="43" fontId="4" fillId="0" borderId="41" xfId="1" applyFont="1" applyFill="1" applyBorder="1" applyAlignment="1">
      <alignment horizontal="right"/>
    </xf>
    <xf numFmtId="43" fontId="4" fillId="0" borderId="19" xfId="1" applyFont="1" applyFill="1" applyBorder="1" applyAlignment="1">
      <alignment horizontal="right"/>
    </xf>
    <xf numFmtId="0" fontId="4" fillId="0" borderId="18" xfId="19" applyFont="1" applyFill="1" applyBorder="1" applyAlignment="1"/>
    <xf numFmtId="0" fontId="14" fillId="0" borderId="18" xfId="19" applyFont="1" applyFill="1" applyBorder="1" applyAlignment="1"/>
    <xf numFmtId="43" fontId="4" fillId="0" borderId="35" xfId="1" applyFill="1" applyBorder="1"/>
    <xf numFmtId="43" fontId="4" fillId="0" borderId="34" xfId="1" applyFill="1" applyBorder="1"/>
    <xf numFmtId="0" fontId="17" fillId="0" borderId="38" xfId="19" applyFont="1" applyFill="1" applyBorder="1" applyAlignment="1">
      <alignment horizontal="center"/>
    </xf>
    <xf numFmtId="0" fontId="17" fillId="0" borderId="26" xfId="19" applyFont="1" applyFill="1" applyBorder="1" applyAlignment="1">
      <alignment horizontal="center"/>
    </xf>
    <xf numFmtId="0" fontId="17" fillId="0" borderId="3" xfId="19" applyFont="1" applyFill="1" applyBorder="1"/>
    <xf numFmtId="43" fontId="4" fillId="0" borderId="27" xfId="1" applyFill="1" applyBorder="1"/>
    <xf numFmtId="0" fontId="17" fillId="0" borderId="3" xfId="19" applyFont="1" applyFill="1" applyBorder="1" applyAlignment="1">
      <alignment horizontal="center"/>
    </xf>
    <xf numFmtId="43" fontId="4" fillId="0" borderId="3" xfId="1" applyFont="1" applyFill="1" applyBorder="1" applyAlignment="1"/>
    <xf numFmtId="0" fontId="4" fillId="0" borderId="26" xfId="19" applyFill="1" applyBorder="1"/>
    <xf numFmtId="43" fontId="4" fillId="0" borderId="10" xfId="1" applyFill="1" applyBorder="1"/>
    <xf numFmtId="0" fontId="17" fillId="0" borderId="0" xfId="19" applyFont="1" applyFill="1" applyAlignment="1">
      <alignment horizontal="center"/>
    </xf>
    <xf numFmtId="43" fontId="4" fillId="0" borderId="18" xfId="1" applyFill="1" applyBorder="1"/>
    <xf numFmtId="43" fontId="4" fillId="0" borderId="33" xfId="1" applyFill="1" applyBorder="1"/>
    <xf numFmtId="0" fontId="17" fillId="0" borderId="18" xfId="19" applyFont="1" applyFill="1" applyBorder="1" applyAlignment="1">
      <alignment horizontal="center"/>
    </xf>
    <xf numFmtId="0" fontId="4" fillId="0" borderId="18" xfId="19" applyFill="1" applyBorder="1"/>
    <xf numFmtId="49" fontId="4" fillId="0" borderId="8" xfId="19" applyNumberFormat="1" applyFill="1" applyBorder="1" applyAlignment="1">
      <alignment horizontal="center"/>
    </xf>
    <xf numFmtId="49" fontId="4" fillId="0" borderId="11" xfId="19" applyNumberFormat="1" applyFill="1" applyBorder="1" applyAlignment="1">
      <alignment horizontal="center"/>
    </xf>
    <xf numFmtId="0" fontId="4" fillId="0" borderId="9" xfId="19" applyFill="1" applyBorder="1" applyAlignment="1">
      <alignment horizontal="center"/>
    </xf>
    <xf numFmtId="0" fontId="4" fillId="0" borderId="4" xfId="19" applyFill="1" applyBorder="1" applyAlignment="1">
      <alignment horizontal="center"/>
    </xf>
    <xf numFmtId="0" fontId="6" fillId="0" borderId="0" xfId="19" applyFont="1" applyFill="1" applyAlignment="1">
      <alignment horizontal="center"/>
    </xf>
    <xf numFmtId="0" fontId="4" fillId="0" borderId="0" xfId="19" applyFont="1" applyFill="1"/>
    <xf numFmtId="43" fontId="0" fillId="0" borderId="0" xfId="1" applyFont="1" applyFill="1"/>
    <xf numFmtId="43" fontId="0" fillId="0" borderId="11" xfId="1" applyFont="1" applyFill="1" applyBorder="1"/>
    <xf numFmtId="0" fontId="4" fillId="0" borderId="8" xfId="19" applyFill="1" applyBorder="1"/>
    <xf numFmtId="0" fontId="4" fillId="0" borderId="0" xfId="19" applyFill="1" applyBorder="1"/>
    <xf numFmtId="0" fontId="4" fillId="0" borderId="63" xfId="19" applyFill="1" applyBorder="1"/>
    <xf numFmtId="43" fontId="18" fillId="0" borderId="33" xfId="1" applyFont="1" applyFill="1" applyBorder="1" applyAlignment="1">
      <alignment horizontal="center"/>
    </xf>
    <xf numFmtId="0" fontId="17" fillId="0" borderId="0" xfId="19" applyFont="1" applyFill="1"/>
    <xf numFmtId="0" fontId="4" fillId="0" borderId="0" xfId="19" applyFill="1" applyAlignment="1">
      <alignment horizontal="right"/>
    </xf>
    <xf numFmtId="0" fontId="16" fillId="0" borderId="0" xfId="19" applyFont="1" applyFill="1"/>
    <xf numFmtId="43" fontId="4" fillId="0" borderId="81" xfId="1" applyFill="1" applyBorder="1"/>
    <xf numFmtId="14" fontId="4" fillId="0" borderId="18" xfId="19" applyNumberFormat="1" applyFill="1" applyBorder="1"/>
    <xf numFmtId="0" fontId="4" fillId="0" borderId="1" xfId="19" applyFill="1" applyBorder="1"/>
    <xf numFmtId="43" fontId="4" fillId="0" borderId="5" xfId="19" applyNumberFormat="1" applyFont="1" applyFill="1" applyBorder="1" applyAlignment="1">
      <alignment horizontal="center"/>
    </xf>
    <xf numFmtId="43" fontId="4" fillId="0" borderId="7" xfId="19" applyNumberFormat="1" applyFont="1" applyFill="1" applyBorder="1" applyAlignment="1"/>
    <xf numFmtId="1" fontId="4" fillId="0" borderId="0" xfId="19" applyNumberFormat="1"/>
    <xf numFmtId="0" fontId="4" fillId="0" borderId="26" xfId="19" applyBorder="1"/>
    <xf numFmtId="1" fontId="4" fillId="0" borderId="0" xfId="19" applyNumberFormat="1" applyFont="1"/>
    <xf numFmtId="49" fontId="4" fillId="0" borderId="0" xfId="19" applyNumberFormat="1" applyAlignment="1">
      <alignment horizontal="center"/>
    </xf>
    <xf numFmtId="0" fontId="23" fillId="0" borderId="0" xfId="19" applyFont="1" applyAlignment="1">
      <alignment horizontal="center"/>
    </xf>
    <xf numFmtId="0" fontId="23" fillId="0" borderId="0" xfId="19" applyFont="1" applyAlignment="1">
      <alignment horizontal="center" vertical="center"/>
    </xf>
    <xf numFmtId="0" fontId="4" fillId="0" borderId="0" xfId="19" applyAlignment="1">
      <alignment vertical="center"/>
    </xf>
    <xf numFmtId="49" fontId="7" fillId="0" borderId="0" xfId="19" applyNumberFormat="1" applyFont="1" applyAlignment="1">
      <alignment horizontal="center"/>
    </xf>
    <xf numFmtId="14" fontId="23" fillId="0" borderId="0" xfId="19" applyNumberFormat="1" applyFont="1" applyBorder="1" applyAlignment="1">
      <alignment horizontal="center"/>
    </xf>
    <xf numFmtId="14" fontId="4" fillId="0" borderId="0" xfId="19" applyNumberFormat="1" applyAlignment="1">
      <alignment horizontal="center"/>
    </xf>
    <xf numFmtId="0" fontId="4" fillId="0" borderId="23" xfId="19" applyFill="1" applyBorder="1"/>
    <xf numFmtId="0" fontId="4" fillId="0" borderId="30" xfId="19" applyFill="1" applyBorder="1"/>
    <xf numFmtId="0" fontId="4" fillId="0" borderId="31" xfId="19" applyFill="1" applyBorder="1"/>
    <xf numFmtId="0" fontId="4" fillId="0" borderId="29" xfId="19" applyFill="1" applyBorder="1"/>
    <xf numFmtId="0" fontId="4" fillId="0" borderId="37" xfId="19" applyFill="1" applyBorder="1" applyAlignment="1">
      <alignment horizontal="center" vertical="center" wrapText="1"/>
    </xf>
    <xf numFmtId="0" fontId="4" fillId="0" borderId="2" xfId="19" applyFont="1" applyFill="1" applyBorder="1" applyAlignment="1">
      <alignment horizontal="center" vertical="center"/>
    </xf>
    <xf numFmtId="0" fontId="4" fillId="0" borderId="0" xfId="19" applyFill="1" applyBorder="1" applyAlignment="1">
      <alignment horizontal="center"/>
    </xf>
    <xf numFmtId="43" fontId="4" fillId="0" borderId="0" xfId="19" applyNumberFormat="1" applyFill="1" applyBorder="1" applyAlignment="1">
      <alignment horizontal="center"/>
    </xf>
    <xf numFmtId="43" fontId="4" fillId="0" borderId="20" xfId="19" applyNumberFormat="1" applyFill="1" applyBorder="1"/>
    <xf numFmtId="0" fontId="4" fillId="0" borderId="18" xfId="19" applyFont="1" applyFill="1" applyBorder="1"/>
    <xf numFmtId="0" fontId="4" fillId="0" borderId="23" xfId="19" applyFont="1" applyFill="1" applyBorder="1"/>
    <xf numFmtId="0" fontId="4" fillId="0" borderId="31" xfId="19" applyFill="1" applyBorder="1" applyAlignment="1">
      <alignment horizontal="right"/>
    </xf>
    <xf numFmtId="0" fontId="4" fillId="0" borderId="19" xfId="19" applyFill="1" applyBorder="1" applyAlignment="1">
      <alignment horizontal="right"/>
    </xf>
    <xf numFmtId="0" fontId="4" fillId="0" borderId="26" xfId="19" applyFont="1" applyFill="1" applyBorder="1"/>
    <xf numFmtId="43" fontId="4" fillId="0" borderId="29" xfId="1" applyFill="1" applyBorder="1" applyAlignment="1">
      <alignment horizontal="right"/>
    </xf>
    <xf numFmtId="0" fontId="7" fillId="0" borderId="0" xfId="19" applyFont="1" applyFill="1" applyAlignment="1">
      <alignment horizontal="center"/>
    </xf>
    <xf numFmtId="0" fontId="17" fillId="0" borderId="0" xfId="19" applyFont="1" applyAlignment="1">
      <alignment horizontal="center"/>
    </xf>
    <xf numFmtId="0" fontId="4" fillId="0" borderId="30" xfId="19" applyBorder="1"/>
    <xf numFmtId="0" fontId="4" fillId="0" borderId="29" xfId="19" applyBorder="1"/>
    <xf numFmtId="0" fontId="4" fillId="0" borderId="37" xfId="19" applyBorder="1" applyAlignment="1">
      <alignment horizontal="center" vertical="center" wrapText="1"/>
    </xf>
    <xf numFmtId="0" fontId="4" fillId="0" borderId="0" xfId="19" applyBorder="1" applyAlignment="1">
      <alignment horizontal="center"/>
    </xf>
    <xf numFmtId="43" fontId="4" fillId="0" borderId="0" xfId="19" applyNumberFormat="1" applyBorder="1" applyAlignment="1">
      <alignment horizontal="center"/>
    </xf>
    <xf numFmtId="0" fontId="4" fillId="0" borderId="0" xfId="19" applyBorder="1"/>
    <xf numFmtId="0" fontId="4" fillId="0" borderId="3" xfId="19" applyFont="1" applyBorder="1"/>
    <xf numFmtId="43" fontId="4" fillId="0" borderId="20" xfId="19" applyNumberFormat="1" applyBorder="1"/>
    <xf numFmtId="43" fontId="4" fillId="0" borderId="19" xfId="19" applyNumberFormat="1" applyBorder="1"/>
    <xf numFmtId="0" fontId="4" fillId="0" borderId="31" xfId="19" applyBorder="1" applyAlignment="1">
      <alignment horizontal="right"/>
    </xf>
    <xf numFmtId="0" fontId="4" fillId="0" borderId="19" xfId="19" applyBorder="1" applyAlignment="1">
      <alignment horizontal="right"/>
    </xf>
    <xf numFmtId="0" fontId="4" fillId="0" borderId="1" xfId="19" applyBorder="1"/>
    <xf numFmtId="0" fontId="7" fillId="0" borderId="0" xfId="19" applyFont="1" applyAlignment="1">
      <alignment horizontal="center"/>
    </xf>
    <xf numFmtId="0" fontId="18" fillId="0" borderId="0" xfId="19" applyFont="1" applyFill="1" applyBorder="1"/>
    <xf numFmtId="0" fontId="18" fillId="0" borderId="0" xfId="19" applyFont="1" applyFill="1"/>
    <xf numFmtId="0" fontId="16" fillId="0" borderId="0" xfId="19" applyFont="1" applyFill="1" applyAlignment="1">
      <alignment horizontal="left"/>
    </xf>
    <xf numFmtId="43" fontId="0" fillId="0" borderId="52" xfId="1" applyFont="1" applyFill="1" applyBorder="1"/>
    <xf numFmtId="0" fontId="4" fillId="0" borderId="72" xfId="19" applyFill="1" applyBorder="1"/>
    <xf numFmtId="0" fontId="4" fillId="0" borderId="12" xfId="19" applyFont="1" applyFill="1" applyBorder="1"/>
    <xf numFmtId="0" fontId="4" fillId="0" borderId="71" xfId="19" applyFill="1" applyBorder="1"/>
    <xf numFmtId="0" fontId="4" fillId="0" borderId="29" xfId="19" applyFont="1" applyFill="1" applyBorder="1"/>
    <xf numFmtId="0" fontId="4" fillId="0" borderId="70" xfId="19" applyFill="1" applyBorder="1"/>
    <xf numFmtId="0" fontId="4" fillId="0" borderId="69" xfId="19" applyFont="1" applyFill="1" applyBorder="1"/>
    <xf numFmtId="0" fontId="39" fillId="0" borderId="0" xfId="19" applyFont="1" applyFill="1"/>
    <xf numFmtId="0" fontId="11" fillId="0" borderId="0" xfId="19" applyFont="1" applyFill="1" applyBorder="1" applyAlignment="1">
      <alignment horizontal="right"/>
    </xf>
    <xf numFmtId="0" fontId="11" fillId="0" borderId="0" xfId="19" applyFont="1" applyFill="1" applyBorder="1"/>
    <xf numFmtId="49" fontId="11" fillId="0" borderId="0" xfId="19" applyNumberFormat="1" applyFont="1" applyFill="1" applyBorder="1" applyAlignment="1">
      <alignment horizontal="center"/>
    </xf>
    <xf numFmtId="43" fontId="4" fillId="0" borderId="0" xfId="1" applyFill="1" applyBorder="1"/>
    <xf numFmtId="10" fontId="4" fillId="0" borderId="0" xfId="13" applyNumberFormat="1" applyFill="1" applyBorder="1"/>
    <xf numFmtId="49" fontId="4" fillId="0" borderId="0" xfId="19" applyNumberFormat="1" applyFill="1" applyBorder="1" applyAlignment="1">
      <alignment horizontal="center"/>
    </xf>
    <xf numFmtId="0" fontId="14" fillId="0" borderId="0" xfId="19" applyFont="1" applyFill="1" applyAlignment="1">
      <alignment horizontal="center" vertical="center" textRotation="180" wrapText="1"/>
    </xf>
    <xf numFmtId="49" fontId="4" fillId="0" borderId="3" xfId="19" applyNumberFormat="1" applyFill="1" applyBorder="1" applyAlignment="1">
      <alignment horizontal="center"/>
    </xf>
    <xf numFmtId="49" fontId="4" fillId="0" borderId="18" xfId="19" applyNumberFormat="1" applyFill="1" applyBorder="1" applyAlignment="1">
      <alignment horizontal="center"/>
    </xf>
    <xf numFmtId="0" fontId="4" fillId="0" borderId="11" xfId="19" applyFill="1" applyBorder="1" applyAlignment="1">
      <alignment horizontal="center"/>
    </xf>
    <xf numFmtId="0" fontId="4" fillId="0" borderId="10" xfId="19" applyFill="1" applyBorder="1" applyAlignment="1">
      <alignment horizontal="center"/>
    </xf>
    <xf numFmtId="0" fontId="4" fillId="0" borderId="9" xfId="19" applyFill="1" applyBorder="1"/>
    <xf numFmtId="0" fontId="11" fillId="0" borderId="0" xfId="19" applyFont="1" applyAlignment="1">
      <alignment horizontal="left"/>
    </xf>
    <xf numFmtId="0" fontId="18" fillId="0" borderId="0" xfId="19" applyFont="1" applyBorder="1"/>
    <xf numFmtId="0" fontId="17" fillId="0" borderId="0" xfId="19" applyFont="1" applyBorder="1" applyAlignment="1">
      <alignment horizontal="center"/>
    </xf>
    <xf numFmtId="49" fontId="4" fillId="0" borderId="23" xfId="19" applyNumberFormat="1" applyBorder="1" applyAlignment="1">
      <alignment horizontal="center"/>
    </xf>
    <xf numFmtId="0" fontId="14" fillId="0" borderId="0" xfId="19" applyFont="1" applyAlignment="1">
      <alignment horizontal="center" vertical="center" textRotation="180" wrapText="1"/>
    </xf>
    <xf numFmtId="0" fontId="18" fillId="0" borderId="11" xfId="19" applyFont="1" applyBorder="1" applyAlignment="1">
      <alignment horizontal="center"/>
    </xf>
    <xf numFmtId="0" fontId="11" fillId="0" borderId="0" xfId="19" applyFont="1" applyBorder="1" applyAlignment="1">
      <alignment horizontal="right"/>
    </xf>
    <xf numFmtId="0" fontId="11" fillId="0" borderId="0" xfId="19" applyFont="1" applyBorder="1"/>
    <xf numFmtId="49" fontId="11" fillId="0" borderId="0" xfId="19" applyNumberFormat="1" applyFont="1" applyBorder="1" applyAlignment="1">
      <alignment horizontal="left"/>
    </xf>
    <xf numFmtId="0" fontId="4" fillId="0" borderId="52" xfId="19" applyBorder="1"/>
    <xf numFmtId="0" fontId="4" fillId="0" borderId="23" xfId="19" applyBorder="1" applyAlignment="1">
      <alignment horizontal="right"/>
    </xf>
    <xf numFmtId="0" fontId="4" fillId="0" borderId="38" xfId="19" applyBorder="1"/>
    <xf numFmtId="43" fontId="4" fillId="0" borderId="0" xfId="19" applyNumberFormat="1"/>
    <xf numFmtId="0" fontId="17" fillId="0" borderId="0" xfId="19" applyFont="1"/>
    <xf numFmtId="0" fontId="4" fillId="0" borderId="3" xfId="19" applyBorder="1" applyAlignment="1">
      <alignment horizontal="right"/>
    </xf>
    <xf numFmtId="0" fontId="17" fillId="0" borderId="26" xfId="19" applyFont="1" applyBorder="1"/>
    <xf numFmtId="0" fontId="4" fillId="0" borderId="18" xfId="19" applyBorder="1" applyAlignment="1">
      <alignment horizontal="right"/>
    </xf>
    <xf numFmtId="0" fontId="4" fillId="0" borderId="26" xfId="19" applyBorder="1" applyAlignment="1">
      <alignment horizontal="right"/>
    </xf>
    <xf numFmtId="0" fontId="4" fillId="0" borderId="5" xfId="19" applyBorder="1"/>
    <xf numFmtId="0" fontId="17" fillId="0" borderId="5" xfId="19" applyFont="1" applyBorder="1"/>
    <xf numFmtId="43" fontId="0" fillId="0" borderId="30" xfId="1" applyFont="1" applyFill="1" applyBorder="1"/>
    <xf numFmtId="0" fontId="4" fillId="0" borderId="3" xfId="19" quotePrefix="1" applyFont="1" applyFill="1" applyBorder="1"/>
    <xf numFmtId="43" fontId="4" fillId="0" borderId="8" xfId="1" applyFill="1" applyBorder="1"/>
    <xf numFmtId="0" fontId="4" fillId="0" borderId="8" xfId="19" applyFill="1" applyBorder="1" applyAlignment="1">
      <alignment horizontal="center"/>
    </xf>
    <xf numFmtId="0" fontId="4" fillId="0" borderId="0" xfId="19" applyFont="1" applyFill="1" applyAlignment="1">
      <alignment horizontal="center"/>
    </xf>
    <xf numFmtId="0" fontId="0" fillId="2" borderId="3" xfId="0" applyFill="1" applyBorder="1" applyProtection="1">
      <protection locked="0"/>
    </xf>
    <xf numFmtId="0" fontId="4" fillId="2" borderId="3" xfId="0" applyFont="1" applyFill="1" applyBorder="1" applyProtection="1">
      <protection locked="0"/>
    </xf>
    <xf numFmtId="43" fontId="14" fillId="2" borderId="29" xfId="1" applyFont="1" applyFill="1" applyBorder="1" applyProtection="1">
      <protection locked="0"/>
    </xf>
    <xf numFmtId="0" fontId="0" fillId="2" borderId="18" xfId="0" applyFill="1" applyBorder="1" applyProtection="1">
      <protection locked="0"/>
    </xf>
    <xf numFmtId="0" fontId="0" fillId="2" borderId="19" xfId="0" applyFill="1" applyBorder="1" applyProtection="1">
      <protection locked="0"/>
    </xf>
    <xf numFmtId="43" fontId="0" fillId="2" borderId="33" xfId="1" applyFont="1" applyFill="1" applyBorder="1" applyProtection="1">
      <protection locked="0"/>
    </xf>
    <xf numFmtId="0" fontId="0" fillId="2" borderId="20" xfId="0" applyFill="1" applyBorder="1" applyProtection="1">
      <protection locked="0"/>
    </xf>
    <xf numFmtId="0" fontId="21" fillId="2" borderId="3" xfId="0" applyFont="1" applyFill="1" applyBorder="1" applyProtection="1">
      <protection locked="0"/>
    </xf>
    <xf numFmtId="43" fontId="0" fillId="0" borderId="17" xfId="1" applyFont="1" applyFill="1" applyBorder="1" applyProtection="1">
      <protection locked="0"/>
    </xf>
    <xf numFmtId="43" fontId="4" fillId="2" borderId="7" xfId="1" applyFont="1" applyFill="1" applyBorder="1" applyProtection="1">
      <protection locked="0"/>
    </xf>
    <xf numFmtId="0" fontId="44" fillId="2" borderId="3" xfId="0" applyFont="1" applyFill="1" applyBorder="1" applyProtection="1">
      <protection locked="0"/>
    </xf>
    <xf numFmtId="0" fontId="4" fillId="2" borderId="20" xfId="0" applyFont="1" applyFill="1" applyBorder="1" applyProtection="1">
      <protection locked="0"/>
    </xf>
    <xf numFmtId="43" fontId="0" fillId="2" borderId="3" xfId="1" applyFont="1" applyFill="1" applyBorder="1" applyProtection="1">
      <protection locked="0"/>
    </xf>
    <xf numFmtId="43" fontId="0" fillId="2" borderId="5" xfId="1" applyFont="1" applyFill="1" applyBorder="1" applyProtection="1">
      <protection locked="0"/>
    </xf>
    <xf numFmtId="43" fontId="0" fillId="2" borderId="26" xfId="1" applyFont="1" applyFill="1" applyBorder="1" applyProtection="1">
      <protection locked="0"/>
    </xf>
    <xf numFmtId="43" fontId="0" fillId="2" borderId="20" xfId="1" applyFont="1" applyFill="1" applyBorder="1" applyProtection="1">
      <protection locked="0"/>
    </xf>
    <xf numFmtId="43" fontId="0" fillId="2" borderId="29" xfId="1" applyFont="1" applyFill="1" applyBorder="1" applyProtection="1">
      <protection locked="0"/>
    </xf>
    <xf numFmtId="0" fontId="0" fillId="0" borderId="3" xfId="0" applyBorder="1" applyAlignment="1" applyProtection="1">
      <alignment horizontal="right"/>
      <protection locked="0"/>
    </xf>
    <xf numFmtId="43" fontId="14" fillId="2" borderId="7" xfId="1" applyFont="1" applyFill="1" applyBorder="1" applyProtection="1"/>
    <xf numFmtId="43" fontId="14" fillId="2" borderId="83" xfId="1" applyFont="1" applyFill="1" applyBorder="1" applyProtection="1">
      <protection locked="0"/>
    </xf>
    <xf numFmtId="43" fontId="14" fillId="2" borderId="36" xfId="1" applyFont="1" applyFill="1" applyBorder="1" applyProtection="1">
      <protection locked="0"/>
    </xf>
    <xf numFmtId="43" fontId="14" fillId="2" borderId="28" xfId="1" applyFont="1" applyFill="1" applyBorder="1" applyProtection="1">
      <protection locked="0"/>
    </xf>
    <xf numFmtId="43" fontId="14" fillId="2" borderId="53" xfId="1" applyFont="1" applyFill="1" applyBorder="1" applyProtection="1">
      <protection locked="0"/>
    </xf>
    <xf numFmtId="43" fontId="14" fillId="2" borderId="3" xfId="1" applyFont="1" applyFill="1" applyBorder="1" applyProtection="1">
      <protection locked="0"/>
    </xf>
    <xf numFmtId="43" fontId="14" fillId="2" borderId="18" xfId="1" applyFont="1" applyFill="1" applyBorder="1" applyProtection="1">
      <protection locked="0"/>
    </xf>
    <xf numFmtId="43" fontId="14" fillId="2" borderId="27" xfId="1" applyFont="1" applyFill="1" applyBorder="1" applyProtection="1">
      <protection locked="0"/>
    </xf>
    <xf numFmtId="0" fontId="0" fillId="2" borderId="28" xfId="0" applyFill="1" applyBorder="1" applyProtection="1">
      <protection locked="0"/>
    </xf>
    <xf numFmtId="43" fontId="0" fillId="2" borderId="19" xfId="1" applyFont="1" applyFill="1" applyBorder="1" applyProtection="1">
      <protection locked="0"/>
    </xf>
    <xf numFmtId="43" fontId="0" fillId="2" borderId="33" xfId="1" applyFont="1" applyFill="1" applyBorder="1" applyAlignment="1" applyProtection="1">
      <alignment horizontal="center"/>
      <protection locked="0"/>
    </xf>
    <xf numFmtId="0" fontId="0" fillId="2" borderId="29" xfId="0" applyFill="1" applyBorder="1" applyProtection="1">
      <protection locked="0"/>
    </xf>
    <xf numFmtId="43" fontId="0" fillId="2" borderId="38" xfId="1" applyFont="1" applyFill="1" applyBorder="1" applyProtection="1">
      <protection locked="0"/>
    </xf>
    <xf numFmtId="43" fontId="0" fillId="2" borderId="6" xfId="1" applyFont="1" applyFill="1" applyBorder="1" applyProtection="1">
      <protection locked="0"/>
    </xf>
    <xf numFmtId="43" fontId="4" fillId="2" borderId="19" xfId="1" applyFill="1" applyBorder="1" applyProtection="1">
      <protection locked="0"/>
    </xf>
    <xf numFmtId="43" fontId="4" fillId="2" borderId="33" xfId="1" applyFill="1" applyBorder="1" applyAlignment="1" applyProtection="1">
      <alignment horizontal="center"/>
      <protection locked="0"/>
    </xf>
    <xf numFmtId="43" fontId="4" fillId="2" borderId="20" xfId="1" applyFill="1" applyBorder="1" applyProtection="1">
      <protection locked="0"/>
    </xf>
    <xf numFmtId="43" fontId="4" fillId="2" borderId="7" xfId="1" applyFill="1" applyBorder="1" applyProtection="1">
      <protection locked="0"/>
    </xf>
    <xf numFmtId="43" fontId="4" fillId="2" borderId="17" xfId="1" applyFill="1" applyBorder="1" applyProtection="1">
      <protection locked="0"/>
    </xf>
    <xf numFmtId="43" fontId="4" fillId="2" borderId="38" xfId="1" applyFill="1" applyBorder="1" applyProtection="1">
      <protection locked="0"/>
    </xf>
    <xf numFmtId="43" fontId="4" fillId="2" borderId="6" xfId="1" applyFill="1" applyBorder="1" applyProtection="1">
      <protection locked="0"/>
    </xf>
    <xf numFmtId="43" fontId="4" fillId="2" borderId="33" xfId="1" applyFill="1" applyBorder="1" applyProtection="1">
      <protection locked="0"/>
    </xf>
    <xf numFmtId="0" fontId="0" fillId="2" borderId="8" xfId="0" applyFill="1" applyBorder="1" applyProtection="1">
      <protection locked="0"/>
    </xf>
    <xf numFmtId="0" fontId="0" fillId="2" borderId="19" xfId="0" applyFill="1" applyBorder="1" applyAlignment="1" applyProtection="1">
      <alignment horizontal="right"/>
      <protection locked="0"/>
    </xf>
    <xf numFmtId="43" fontId="4" fillId="2" borderId="31" xfId="1" applyFill="1" applyBorder="1" applyProtection="1">
      <protection locked="0"/>
    </xf>
    <xf numFmtId="43" fontId="4" fillId="2" borderId="3" xfId="1" applyFill="1" applyBorder="1" applyProtection="1">
      <protection locked="0"/>
    </xf>
    <xf numFmtId="43" fontId="0" fillId="2" borderId="19" xfId="1" applyFont="1" applyFill="1" applyBorder="1" applyAlignment="1" applyProtection="1">
      <protection locked="0"/>
    </xf>
    <xf numFmtId="14" fontId="0" fillId="2" borderId="7" xfId="0" applyNumberFormat="1" applyFill="1" applyBorder="1" applyAlignment="1" applyProtection="1">
      <alignment horizontal="center"/>
      <protection locked="0"/>
    </xf>
    <xf numFmtId="166" fontId="0" fillId="2" borderId="7" xfId="1" applyNumberFormat="1" applyFont="1" applyFill="1" applyBorder="1" applyAlignment="1" applyProtection="1">
      <alignment horizontal="center"/>
      <protection locked="0"/>
    </xf>
    <xf numFmtId="43" fontId="45" fillId="2" borderId="7" xfId="1" applyFont="1" applyFill="1" applyBorder="1" applyProtection="1">
      <protection locked="0"/>
    </xf>
    <xf numFmtId="166" fontId="0" fillId="2" borderId="17" xfId="0" applyNumberFormat="1" applyFill="1" applyBorder="1" applyAlignment="1" applyProtection="1">
      <alignment horizontal="center"/>
      <protection locked="0"/>
    </xf>
    <xf numFmtId="14" fontId="0" fillId="2" borderId="7" xfId="1" quotePrefix="1" applyNumberFormat="1" applyFont="1" applyFill="1" applyBorder="1" applyAlignment="1" applyProtection="1">
      <alignment horizontal="center"/>
      <protection locked="0"/>
    </xf>
    <xf numFmtId="43" fontId="0" fillId="2" borderId="25" xfId="1" applyFont="1" applyFill="1" applyBorder="1" applyProtection="1">
      <protection locked="0"/>
    </xf>
    <xf numFmtId="0" fontId="0" fillId="2" borderId="25" xfId="0" applyFill="1" applyBorder="1" applyProtection="1">
      <protection locked="0"/>
    </xf>
    <xf numFmtId="43" fontId="4" fillId="2" borderId="33" xfId="1" applyFill="1" applyBorder="1" applyAlignment="1" applyProtection="1">
      <protection locked="0"/>
    </xf>
    <xf numFmtId="0" fontId="0" fillId="2" borderId="33" xfId="0" applyFill="1" applyBorder="1" applyAlignment="1" applyProtection="1">
      <protection locked="0"/>
    </xf>
    <xf numFmtId="10" fontId="4" fillId="2" borderId="33" xfId="13" applyNumberFormat="1" applyFill="1" applyBorder="1" applyAlignment="1" applyProtection="1">
      <protection locked="0"/>
    </xf>
    <xf numFmtId="0" fontId="0" fillId="2" borderId="47" xfId="0" applyFill="1" applyBorder="1" applyAlignment="1" applyProtection="1">
      <protection locked="0"/>
    </xf>
    <xf numFmtId="0" fontId="0" fillId="2" borderId="7" xfId="0" applyFill="1" applyBorder="1" applyProtection="1">
      <protection locked="0"/>
    </xf>
    <xf numFmtId="10" fontId="4" fillId="2" borderId="7" xfId="13" applyNumberFormat="1" applyFill="1" applyBorder="1" applyProtection="1">
      <protection locked="0"/>
    </xf>
    <xf numFmtId="0" fontId="0" fillId="2" borderId="17" xfId="0" applyFill="1" applyBorder="1" applyProtection="1">
      <protection locked="0"/>
    </xf>
    <xf numFmtId="0" fontId="0" fillId="2" borderId="6" xfId="0" applyFill="1" applyBorder="1" applyProtection="1">
      <protection locked="0"/>
    </xf>
    <xf numFmtId="10" fontId="4" fillId="2" borderId="6" xfId="13" applyNumberFormat="1" applyFill="1" applyBorder="1" applyProtection="1">
      <protection locked="0"/>
    </xf>
    <xf numFmtId="43" fontId="4" fillId="2" borderId="25" xfId="1" applyFill="1" applyBorder="1" applyProtection="1">
      <protection locked="0"/>
    </xf>
    <xf numFmtId="0" fontId="0" fillId="2" borderId="50" xfId="0" applyFill="1" applyBorder="1" applyProtection="1">
      <protection locked="0"/>
    </xf>
    <xf numFmtId="43" fontId="4" fillId="2" borderId="28" xfId="1" applyFill="1" applyBorder="1" applyAlignment="1" applyProtection="1">
      <protection locked="0"/>
    </xf>
    <xf numFmtId="43" fontId="4" fillId="2" borderId="47" xfId="1" applyFill="1" applyBorder="1" applyAlignment="1" applyProtection="1">
      <protection locked="0"/>
    </xf>
    <xf numFmtId="43" fontId="4" fillId="2" borderId="29" xfId="1" applyFill="1" applyBorder="1" applyProtection="1">
      <protection locked="0"/>
    </xf>
    <xf numFmtId="43" fontId="4" fillId="2" borderId="53" xfId="1" applyFill="1" applyBorder="1" applyProtection="1">
      <protection locked="0"/>
    </xf>
    <xf numFmtId="43" fontId="4" fillId="2" borderId="81" xfId="1" applyFill="1" applyBorder="1" applyProtection="1">
      <protection locked="0"/>
    </xf>
    <xf numFmtId="43" fontId="4" fillId="2" borderId="50" xfId="1" applyFill="1" applyBorder="1" applyProtection="1">
      <protection locked="0"/>
    </xf>
    <xf numFmtId="43" fontId="14" fillId="2" borderId="33" xfId="1" applyFont="1" applyFill="1" applyBorder="1" applyAlignment="1" applyProtection="1">
      <protection locked="0"/>
    </xf>
    <xf numFmtId="43" fontId="14" fillId="2" borderId="6" xfId="1" applyFont="1" applyFill="1" applyBorder="1" applyProtection="1">
      <protection locked="0"/>
    </xf>
    <xf numFmtId="43" fontId="14" fillId="2" borderId="25" xfId="1" applyFont="1" applyFill="1" applyBorder="1" applyProtection="1">
      <protection locked="0"/>
    </xf>
    <xf numFmtId="43" fontId="0" fillId="2" borderId="18" xfId="1" applyFont="1" applyFill="1" applyBorder="1" applyProtection="1">
      <protection locked="0"/>
    </xf>
    <xf numFmtId="43" fontId="4" fillId="2" borderId="18" xfId="1" applyFill="1" applyBorder="1" applyProtection="1">
      <protection locked="0"/>
    </xf>
    <xf numFmtId="0" fontId="0" fillId="0" borderId="3" xfId="0" applyFill="1" applyBorder="1" applyProtection="1"/>
    <xf numFmtId="43" fontId="4" fillId="2" borderId="9" xfId="1" applyFill="1" applyBorder="1" applyProtection="1">
      <protection locked="0"/>
    </xf>
    <xf numFmtId="0" fontId="4" fillId="2" borderId="18" xfId="0" applyFont="1" applyFill="1" applyBorder="1" applyProtection="1">
      <protection locked="0"/>
    </xf>
    <xf numFmtId="0" fontId="42" fillId="2" borderId="3" xfId="0" applyFont="1" applyFill="1" applyBorder="1" applyProtection="1">
      <protection locked="0"/>
    </xf>
    <xf numFmtId="0" fontId="41" fillId="2" borderId="3" xfId="0" applyFont="1" applyFill="1" applyBorder="1" applyProtection="1">
      <protection locked="0"/>
    </xf>
    <xf numFmtId="43" fontId="0" fillId="2" borderId="24" xfId="1" applyFont="1" applyFill="1" applyBorder="1" applyProtection="1">
      <protection locked="0"/>
    </xf>
    <xf numFmtId="0" fontId="18" fillId="2" borderId="26" xfId="0" applyFont="1" applyFill="1" applyBorder="1" applyAlignment="1" applyProtection="1">
      <alignment horizontal="center"/>
      <protection locked="0"/>
    </xf>
    <xf numFmtId="0" fontId="4" fillId="2" borderId="3" xfId="19" applyFill="1" applyBorder="1"/>
    <xf numFmtId="0" fontId="4" fillId="2" borderId="3" xfId="19" applyFill="1" applyBorder="1" applyProtection="1">
      <protection locked="0"/>
    </xf>
    <xf numFmtId="0" fontId="4" fillId="2" borderId="0" xfId="19" applyFill="1" applyProtection="1">
      <protection locked="0"/>
    </xf>
    <xf numFmtId="43" fontId="4" fillId="2" borderId="4" xfId="1" applyFill="1" applyBorder="1" applyProtection="1">
      <protection locked="0"/>
    </xf>
    <xf numFmtId="43" fontId="4" fillId="2" borderId="0" xfId="1" applyFill="1" applyProtection="1">
      <protection locked="0"/>
    </xf>
    <xf numFmtId="0" fontId="4" fillId="2" borderId="20" xfId="19" applyFill="1" applyBorder="1" applyProtection="1">
      <protection locked="0"/>
    </xf>
    <xf numFmtId="43" fontId="4" fillId="2" borderId="27" xfId="1" applyFill="1" applyBorder="1" applyProtection="1">
      <protection locked="0"/>
    </xf>
    <xf numFmtId="43" fontId="4" fillId="2" borderId="82" xfId="1" applyFill="1" applyBorder="1" applyProtection="1">
      <protection locked="0"/>
    </xf>
    <xf numFmtId="43" fontId="4" fillId="2" borderId="26" xfId="1" applyFont="1" applyFill="1" applyBorder="1" applyAlignment="1" applyProtection="1">
      <protection locked="0"/>
    </xf>
    <xf numFmtId="43" fontId="4" fillId="2" borderId="81" xfId="1" applyFont="1" applyFill="1" applyBorder="1" applyAlignment="1"/>
    <xf numFmtId="43" fontId="4" fillId="2" borderId="81" xfId="1" applyFont="1" applyFill="1" applyBorder="1" applyAlignment="1" applyProtection="1">
      <protection locked="0"/>
    </xf>
    <xf numFmtId="43" fontId="4" fillId="2" borderId="7" xfId="1" applyFont="1" applyFill="1" applyBorder="1" applyAlignment="1" applyProtection="1">
      <protection locked="0"/>
    </xf>
    <xf numFmtId="43" fontId="4" fillId="2" borderId="25" xfId="1" applyFont="1" applyFill="1" applyBorder="1" applyAlignment="1" applyProtection="1">
      <protection locked="0"/>
    </xf>
    <xf numFmtId="43" fontId="0" fillId="2" borderId="0" xfId="1" applyFont="1" applyFill="1" applyProtection="1">
      <protection locked="0"/>
    </xf>
    <xf numFmtId="43" fontId="14" fillId="2" borderId="5" xfId="1" applyFont="1" applyFill="1" applyBorder="1" applyProtection="1">
      <protection locked="0"/>
    </xf>
    <xf numFmtId="43" fontId="0" fillId="2" borderId="4" xfId="1" applyFont="1" applyFill="1" applyBorder="1" applyProtection="1">
      <protection locked="0"/>
    </xf>
    <xf numFmtId="43" fontId="0" fillId="0" borderId="3" xfId="1" applyFont="1" applyFill="1" applyBorder="1" applyProtection="1"/>
    <xf numFmtId="43" fontId="0" fillId="2" borderId="27" xfId="1" applyFont="1" applyFill="1" applyBorder="1" applyProtection="1">
      <protection locked="0"/>
    </xf>
    <xf numFmtId="43" fontId="4" fillId="2" borderId="26" xfId="1" applyFont="1" applyFill="1" applyBorder="1" applyProtection="1">
      <protection locked="0"/>
    </xf>
    <xf numFmtId="0" fontId="4" fillId="2" borderId="26" xfId="0" applyFont="1" applyFill="1" applyBorder="1" applyProtection="1">
      <protection locked="0"/>
    </xf>
    <xf numFmtId="0" fontId="4" fillId="0" borderId="0" xfId="19" applyProtection="1">
      <protection locked="0"/>
    </xf>
    <xf numFmtId="0" fontId="4" fillId="2" borderId="26" xfId="19" applyFill="1" applyBorder="1" applyProtection="1">
      <protection locked="0"/>
    </xf>
    <xf numFmtId="0" fontId="4" fillId="2" borderId="26" xfId="19" applyFont="1" applyFill="1" applyBorder="1" applyProtection="1">
      <protection locked="0"/>
    </xf>
    <xf numFmtId="43" fontId="4" fillId="0" borderId="26" xfId="19" applyNumberFormat="1" applyFill="1" applyBorder="1" applyProtection="1"/>
    <xf numFmtId="43" fontId="4" fillId="2" borderId="24" xfId="1" applyFill="1" applyBorder="1" applyProtection="1">
      <protection locked="0"/>
    </xf>
    <xf numFmtId="43" fontId="4" fillId="2" borderId="20" xfId="1" applyFont="1" applyFill="1" applyBorder="1" applyProtection="1">
      <protection locked="0"/>
    </xf>
    <xf numFmtId="0" fontId="4" fillId="2" borderId="18" xfId="19" applyFill="1" applyBorder="1" applyProtection="1">
      <protection locked="0"/>
    </xf>
    <xf numFmtId="43" fontId="4" fillId="2" borderId="31" xfId="1" applyFont="1" applyFill="1" applyBorder="1" applyProtection="1">
      <protection locked="0"/>
    </xf>
    <xf numFmtId="0" fontId="4" fillId="2" borderId="18" xfId="19" applyFont="1" applyFill="1" applyBorder="1" applyProtection="1">
      <protection locked="0"/>
    </xf>
    <xf numFmtId="0" fontId="4" fillId="2" borderId="19" xfId="19" applyFill="1" applyBorder="1" applyProtection="1">
      <protection locked="0"/>
    </xf>
    <xf numFmtId="14" fontId="4" fillId="2" borderId="33" xfId="19" applyNumberFormat="1" applyFill="1" applyBorder="1" applyAlignment="1" applyProtection="1">
      <alignment horizontal="center"/>
      <protection locked="0"/>
    </xf>
    <xf numFmtId="14" fontId="4" fillId="2" borderId="33" xfId="1" applyNumberFormat="1" applyFill="1" applyBorder="1" applyAlignment="1" applyProtection="1">
      <protection locked="0"/>
    </xf>
    <xf numFmtId="0" fontId="4" fillId="2" borderId="95" xfId="19" applyFill="1" applyBorder="1" applyAlignment="1" applyProtection="1">
      <protection locked="0"/>
    </xf>
    <xf numFmtId="49" fontId="4" fillId="2" borderId="3" xfId="19" applyNumberFormat="1" applyFont="1" applyFill="1" applyBorder="1" applyProtection="1">
      <protection locked="0"/>
    </xf>
    <xf numFmtId="14" fontId="4" fillId="2" borderId="7" xfId="19" applyNumberFormat="1" applyFill="1" applyBorder="1" applyAlignment="1" applyProtection="1">
      <alignment horizontal="center"/>
      <protection locked="0"/>
    </xf>
    <xf numFmtId="10" fontId="4" fillId="2" borderId="7" xfId="13" applyNumberFormat="1" applyFont="1" applyFill="1" applyBorder="1" applyAlignment="1" applyProtection="1">
      <protection locked="0"/>
    </xf>
    <xf numFmtId="43" fontId="4" fillId="2" borderId="7" xfId="1" applyFont="1" applyFill="1" applyBorder="1" applyAlignment="1" applyProtection="1">
      <alignment horizontal="center"/>
      <protection locked="0"/>
    </xf>
    <xf numFmtId="0" fontId="4" fillId="2" borderId="68" xfId="19" applyFill="1" applyBorder="1" applyProtection="1">
      <protection locked="0"/>
    </xf>
    <xf numFmtId="0" fontId="4" fillId="2" borderId="7" xfId="19" applyFill="1" applyBorder="1" applyProtection="1">
      <protection locked="0"/>
    </xf>
    <xf numFmtId="0" fontId="4" fillId="2" borderId="6" xfId="19" applyFill="1" applyBorder="1" applyProtection="1">
      <protection locked="0"/>
    </xf>
    <xf numFmtId="0" fontId="26" fillId="2" borderId="3" xfId="19" applyFont="1" applyFill="1" applyBorder="1" applyProtection="1">
      <protection locked="0"/>
    </xf>
    <xf numFmtId="0" fontId="26" fillId="2" borderId="20" xfId="19" applyFont="1" applyFill="1" applyBorder="1" applyProtection="1">
      <protection locked="0"/>
    </xf>
    <xf numFmtId="43" fontId="4" fillId="0" borderId="7" xfId="1" applyFill="1" applyBorder="1" applyProtection="1"/>
    <xf numFmtId="0" fontId="4" fillId="0" borderId="3" xfId="19" applyFill="1" applyBorder="1" applyProtection="1"/>
    <xf numFmtId="0" fontId="4" fillId="0" borderId="20" xfId="19" applyFill="1" applyBorder="1" applyProtection="1"/>
    <xf numFmtId="0" fontId="4" fillId="0" borderId="7" xfId="19" applyFill="1" applyBorder="1" applyProtection="1"/>
    <xf numFmtId="10" fontId="4" fillId="0" borderId="7" xfId="13" applyNumberFormat="1" applyFill="1" applyBorder="1" applyProtection="1"/>
    <xf numFmtId="43" fontId="4" fillId="0" borderId="29" xfId="1" applyFill="1" applyBorder="1" applyProtection="1"/>
    <xf numFmtId="0" fontId="4" fillId="0" borderId="68" xfId="19" applyFill="1" applyBorder="1" applyProtection="1"/>
    <xf numFmtId="49" fontId="4" fillId="0" borderId="3" xfId="19" applyNumberFormat="1" applyFill="1" applyBorder="1" applyAlignment="1" applyProtection="1">
      <alignment horizontal="left"/>
    </xf>
    <xf numFmtId="0" fontId="4" fillId="2" borderId="33" xfId="19" applyFill="1" applyBorder="1" applyAlignment="1" applyProtection="1">
      <protection locked="0"/>
    </xf>
    <xf numFmtId="0" fontId="4" fillId="2" borderId="47" xfId="19" applyFill="1" applyBorder="1" applyAlignment="1" applyProtection="1">
      <protection locked="0"/>
    </xf>
    <xf numFmtId="0" fontId="4" fillId="2" borderId="17" xfId="19" applyFill="1" applyBorder="1" applyProtection="1">
      <protection locked="0"/>
    </xf>
    <xf numFmtId="43" fontId="4" fillId="2" borderId="17" xfId="1" applyFont="1" applyFill="1" applyBorder="1" applyProtection="1">
      <protection locked="0"/>
    </xf>
    <xf numFmtId="49" fontId="4" fillId="2" borderId="18" xfId="19" applyNumberFormat="1" applyFill="1" applyBorder="1" applyAlignment="1" applyProtection="1">
      <alignment horizontal="left"/>
      <protection locked="0"/>
    </xf>
    <xf numFmtId="49" fontId="4" fillId="2" borderId="3" xfId="19" applyNumberFormat="1" applyFont="1" applyFill="1" applyBorder="1" applyAlignment="1" applyProtection="1">
      <alignment horizontal="left"/>
      <protection locked="0"/>
    </xf>
    <xf numFmtId="0" fontId="4" fillId="2" borderId="3" xfId="19" applyFont="1" applyFill="1" applyBorder="1" applyProtection="1">
      <protection locked="0"/>
    </xf>
    <xf numFmtId="49" fontId="4" fillId="2" borderId="3" xfId="19" quotePrefix="1" applyNumberFormat="1" applyFont="1" applyFill="1" applyBorder="1" applyAlignment="1" applyProtection="1">
      <alignment horizontal="left"/>
      <protection locked="0"/>
    </xf>
    <xf numFmtId="49" fontId="4" fillId="2" borderId="3" xfId="19" applyNumberFormat="1" applyFill="1" applyBorder="1" applyAlignment="1" applyProtection="1">
      <alignment horizontal="left"/>
      <protection locked="0"/>
    </xf>
    <xf numFmtId="0" fontId="4" fillId="2" borderId="20" xfId="19" applyFill="1" applyBorder="1" applyAlignment="1" applyProtection="1">
      <alignment horizontal="right"/>
      <protection locked="0"/>
    </xf>
    <xf numFmtId="14" fontId="4" fillId="0" borderId="18" xfId="19" quotePrefix="1" applyNumberFormat="1" applyFill="1" applyBorder="1"/>
    <xf numFmtId="0" fontId="4" fillId="0" borderId="0" xfId="0" applyFont="1" applyAlignment="1">
      <alignment horizontal="center"/>
    </xf>
    <xf numFmtId="0" fontId="60" fillId="0" borderId="0" xfId="0" applyFont="1"/>
    <xf numFmtId="0" fontId="61" fillId="0" borderId="0" xfId="0" applyFont="1"/>
    <xf numFmtId="0" fontId="4" fillId="2" borderId="26" xfId="0" applyFont="1" applyFill="1" applyBorder="1" applyAlignment="1" applyProtection="1">
      <alignment horizontal="center"/>
      <protection locked="0"/>
    </xf>
    <xf numFmtId="43" fontId="61" fillId="0" borderId="0" xfId="0" applyNumberFormat="1" applyFont="1"/>
    <xf numFmtId="0" fontId="4" fillId="2" borderId="19" xfId="0" applyFont="1" applyFill="1" applyBorder="1" applyProtection="1">
      <protection locked="0"/>
    </xf>
    <xf numFmtId="43" fontId="61" fillId="0" borderId="0" xfId="0" applyNumberFormat="1" applyFont="1" applyFill="1"/>
    <xf numFmtId="43" fontId="57" fillId="0" borderId="0" xfId="0" applyNumberFormat="1" applyFont="1"/>
    <xf numFmtId="0" fontId="4" fillId="2" borderId="3" xfId="0" applyFont="1" applyFill="1" applyBorder="1" applyAlignment="1" applyProtection="1">
      <alignment horizontal="center"/>
      <protection locked="0"/>
    </xf>
    <xf numFmtId="43" fontId="14" fillId="3" borderId="3" xfId="1" applyFont="1" applyFill="1" applyBorder="1" applyProtection="1">
      <protection locked="0"/>
    </xf>
    <xf numFmtId="43" fontId="14" fillId="2" borderId="3" xfId="1" applyFont="1" applyFill="1" applyBorder="1"/>
    <xf numFmtId="43" fontId="0" fillId="3" borderId="19" xfId="1" applyFont="1" applyFill="1" applyBorder="1"/>
    <xf numFmtId="43" fontId="0" fillId="3" borderId="20" xfId="1" applyFont="1" applyFill="1" applyBorder="1"/>
    <xf numFmtId="43" fontId="14" fillId="3" borderId="7" xfId="1" applyFont="1" applyFill="1" applyBorder="1" applyProtection="1">
      <protection locked="0"/>
    </xf>
    <xf numFmtId="0" fontId="0" fillId="0" borderId="7" xfId="0" applyFill="1" applyBorder="1"/>
    <xf numFmtId="0" fontId="0" fillId="0" borderId="27" xfId="0" applyFill="1" applyBorder="1"/>
    <xf numFmtId="0" fontId="0" fillId="3" borderId="3" xfId="0" applyFill="1" applyBorder="1"/>
    <xf numFmtId="0" fontId="0" fillId="0" borderId="4" xfId="0" applyBorder="1" applyAlignment="1">
      <alignment horizontal="center" vertical="center"/>
    </xf>
    <xf numFmtId="43" fontId="14" fillId="2" borderId="10" xfId="1" applyFont="1" applyFill="1" applyBorder="1" applyProtection="1">
      <protection locked="0"/>
    </xf>
    <xf numFmtId="43" fontId="14" fillId="2" borderId="15" xfId="1" applyFont="1" applyFill="1" applyBorder="1" applyProtection="1">
      <protection locked="0"/>
    </xf>
    <xf numFmtId="43" fontId="16" fillId="0" borderId="28" xfId="1" applyFont="1" applyBorder="1" applyAlignment="1">
      <alignment horizontal="center"/>
    </xf>
    <xf numFmtId="43" fontId="14" fillId="2" borderId="64" xfId="1" applyFont="1" applyFill="1" applyBorder="1" applyProtection="1">
      <protection locked="0"/>
    </xf>
    <xf numFmtId="43" fontId="14" fillId="3" borderId="7" xfId="1" applyFont="1" applyFill="1" applyBorder="1"/>
    <xf numFmtId="10" fontId="61" fillId="0" borderId="0" xfId="13" applyNumberFormat="1" applyFont="1"/>
    <xf numFmtId="0" fontId="4" fillId="3" borderId="3" xfId="0" applyFont="1" applyFill="1" applyBorder="1"/>
    <xf numFmtId="0" fontId="0" fillId="0" borderId="0" xfId="0" applyAlignment="1">
      <alignment horizontal="center"/>
    </xf>
    <xf numFmtId="0" fontId="0" fillId="0" borderId="1" xfId="0" applyBorder="1" applyAlignment="1">
      <alignment horizontal="center" vertical="center"/>
    </xf>
    <xf numFmtId="0" fontId="23" fillId="0" borderId="0" xfId="0" applyFont="1" applyAlignment="1">
      <alignment horizontal="center"/>
    </xf>
    <xf numFmtId="0" fontId="5" fillId="0" borderId="0" xfId="0" applyFont="1" applyBorder="1" applyAlignment="1">
      <alignment horizontal="center"/>
    </xf>
    <xf numFmtId="0" fontId="0" fillId="0" borderId="21" xfId="0" applyBorder="1" applyAlignment="1">
      <alignment horizontal="center" vertical="center"/>
    </xf>
    <xf numFmtId="43" fontId="62" fillId="0" borderId="0" xfId="1" applyFont="1"/>
    <xf numFmtId="0" fontId="62" fillId="0" borderId="0" xfId="19" applyFont="1" applyFill="1"/>
    <xf numFmtId="0" fontId="4" fillId="3" borderId="0" xfId="19" applyFill="1"/>
    <xf numFmtId="0" fontId="62" fillId="0" borderId="0" xfId="0" applyFont="1"/>
    <xf numFmtId="43" fontId="62" fillId="0" borderId="0" xfId="0" applyNumberFormat="1" applyFont="1"/>
    <xf numFmtId="0" fontId="0" fillId="0" borderId="64" xfId="0" applyFill="1" applyBorder="1"/>
    <xf numFmtId="0" fontId="0" fillId="0" borderId="64" xfId="0" applyBorder="1"/>
    <xf numFmtId="0" fontId="0" fillId="3" borderId="0" xfId="0" applyFill="1"/>
    <xf numFmtId="0" fontId="62" fillId="3" borderId="0" xfId="0" applyFont="1" applyFill="1"/>
    <xf numFmtId="43" fontId="0" fillId="3" borderId="0" xfId="0" applyNumberFormat="1" applyFill="1"/>
    <xf numFmtId="43" fontId="4" fillId="3" borderId="0" xfId="0" applyNumberFormat="1" applyFont="1" applyFill="1"/>
    <xf numFmtId="0" fontId="0" fillId="3" borderId="3" xfId="0" applyFill="1" applyBorder="1" applyProtection="1">
      <protection locked="0"/>
    </xf>
    <xf numFmtId="43" fontId="62" fillId="3" borderId="0" xfId="0" applyNumberFormat="1" applyFont="1" applyFill="1"/>
    <xf numFmtId="10" fontId="62" fillId="0" borderId="0" xfId="13" applyNumberFormat="1" applyFont="1"/>
    <xf numFmtId="43" fontId="14" fillId="0" borderId="96" xfId="1" applyFont="1" applyFill="1" applyBorder="1"/>
    <xf numFmtId="43" fontId="0" fillId="0" borderId="97" xfId="0" applyNumberFormat="1" applyBorder="1"/>
    <xf numFmtId="0" fontId="7" fillId="0" borderId="0" xfId="0" applyFont="1" applyAlignment="1">
      <alignment horizontal="center"/>
    </xf>
    <xf numFmtId="0" fontId="17" fillId="0" borderId="0" xfId="0" applyFont="1" applyBorder="1" applyAlignment="1">
      <alignment horizontal="center"/>
    </xf>
    <xf numFmtId="0" fontId="0" fillId="0" borderId="1" xfId="0" applyBorder="1" applyAlignment="1">
      <alignment horizontal="center" vertical="center"/>
    </xf>
    <xf numFmtId="0" fontId="24" fillId="0" borderId="0" xfId="0" applyFont="1" applyAlignment="1">
      <alignment horizontal="center" vertical="center" textRotation="180" wrapText="1"/>
    </xf>
    <xf numFmtId="0" fontId="0" fillId="0" borderId="15" xfId="0" applyBorder="1" applyAlignment="1">
      <alignment horizontal="center"/>
    </xf>
    <xf numFmtId="0" fontId="17" fillId="0" borderId="0" xfId="0" applyFont="1" applyAlignment="1">
      <alignment horizontal="center"/>
    </xf>
    <xf numFmtId="0" fontId="63" fillId="0" borderId="0" xfId="0" applyFont="1"/>
    <xf numFmtId="43" fontId="0" fillId="2" borderId="81" xfId="1" applyFont="1" applyFill="1" applyBorder="1" applyProtection="1">
      <protection locked="0"/>
    </xf>
    <xf numFmtId="0" fontId="0" fillId="0" borderId="6" xfId="0" applyBorder="1" applyAlignment="1">
      <alignment horizontal="center" vertical="center"/>
    </xf>
    <xf numFmtId="0" fontId="0" fillId="2" borderId="3" xfId="0" applyFill="1" applyBorder="1" applyAlignment="1" applyProtection="1">
      <alignment horizontal="left" vertical="center"/>
      <protection locked="0"/>
    </xf>
    <xf numFmtId="0" fontId="0" fillId="2" borderId="20" xfId="0" applyFill="1" applyBorder="1" applyAlignment="1" applyProtection="1">
      <alignment horizontal="left" vertical="center"/>
      <protection locked="0"/>
    </xf>
    <xf numFmtId="0" fontId="4" fillId="2" borderId="3" xfId="0" applyFont="1" applyFill="1" applyBorder="1" applyAlignment="1" applyProtection="1">
      <protection locked="0"/>
    </xf>
    <xf numFmtId="0" fontId="0" fillId="2" borderId="3" xfId="0" applyFill="1" applyBorder="1" applyAlignment="1" applyProtection="1">
      <protection locked="0"/>
    </xf>
    <xf numFmtId="0" fontId="21" fillId="2" borderId="3" xfId="0" applyFont="1" applyFill="1" applyBorder="1" applyAlignment="1" applyProtection="1">
      <protection locked="0"/>
    </xf>
    <xf numFmtId="43" fontId="4" fillId="2" borderId="3" xfId="1" applyFont="1" applyFill="1" applyBorder="1" applyProtection="1">
      <protection locked="0"/>
    </xf>
    <xf numFmtId="10" fontId="25" fillId="0" borderId="26" xfId="13" applyNumberFormat="1" applyFont="1" applyBorder="1"/>
    <xf numFmtId="10" fontId="0" fillId="0" borderId="26" xfId="13" applyNumberFormat="1" applyFont="1" applyBorder="1"/>
    <xf numFmtId="43" fontId="0" fillId="0" borderId="26" xfId="1" applyFont="1" applyFill="1" applyBorder="1" applyProtection="1">
      <protection locked="0"/>
    </xf>
    <xf numFmtId="0" fontId="4" fillId="0" borderId="26" xfId="0" applyFont="1" applyBorder="1"/>
    <xf numFmtId="43" fontId="0" fillId="0" borderId="33" xfId="1" applyFont="1" applyFill="1" applyBorder="1" applyProtection="1">
      <protection locked="0"/>
    </xf>
    <xf numFmtId="0" fontId="4" fillId="0" borderId="98" xfId="19" applyBorder="1"/>
    <xf numFmtId="0" fontId="4" fillId="0" borderId="0" xfId="19" applyFill="1" applyProtection="1">
      <protection locked="0"/>
    </xf>
    <xf numFmtId="0" fontId="63" fillId="0" borderId="0" xfId="19" applyFont="1" applyFill="1"/>
    <xf numFmtId="0" fontId="0" fillId="0" borderId="0" xfId="0" applyBorder="1" applyAlignment="1">
      <alignment horizontal="center" vertical="center"/>
    </xf>
    <xf numFmtId="43" fontId="14" fillId="0" borderId="10" xfId="0" applyNumberFormat="1" applyFont="1" applyFill="1" applyBorder="1" applyAlignment="1">
      <alignment horizontal="center"/>
    </xf>
    <xf numFmtId="0" fontId="4" fillId="0" borderId="23" xfId="0" applyFont="1" applyFill="1" applyBorder="1"/>
    <xf numFmtId="43" fontId="4" fillId="2" borderId="7" xfId="1" applyFont="1" applyFill="1" applyBorder="1" applyAlignment="1" applyProtection="1">
      <alignment horizontal="right"/>
      <protection locked="0"/>
    </xf>
    <xf numFmtId="0" fontId="4" fillId="0" borderId="0" xfId="19" applyFill="1" applyAlignment="1">
      <alignment horizontal="center"/>
    </xf>
    <xf numFmtId="0" fontId="17" fillId="0" borderId="0" xfId="19" applyFont="1" applyFill="1" applyAlignment="1">
      <alignment horizontal="center"/>
    </xf>
    <xf numFmtId="0" fontId="4" fillId="0" borderId="0" xfId="19" applyFill="1" applyBorder="1" applyAlignment="1">
      <alignment horizontal="center"/>
    </xf>
    <xf numFmtId="0" fontId="4" fillId="0" borderId="0" xfId="19" applyAlignment="1">
      <alignment horizontal="center"/>
    </xf>
    <xf numFmtId="43" fontId="4" fillId="0" borderId="29" xfId="1" applyFill="1" applyBorder="1" applyAlignment="1">
      <alignment horizontal="right"/>
    </xf>
    <xf numFmtId="0" fontId="4" fillId="0" borderId="37" xfId="19" applyFill="1" applyBorder="1" applyAlignment="1">
      <alignment horizontal="center" vertical="center" wrapText="1"/>
    </xf>
    <xf numFmtId="0" fontId="4" fillId="0" borderId="0" xfId="19" applyBorder="1" applyAlignment="1">
      <alignment horizontal="center"/>
    </xf>
    <xf numFmtId="0" fontId="4" fillId="0" borderId="10" xfId="0" applyFont="1" applyBorder="1" applyAlignment="1">
      <alignment horizontal="center"/>
    </xf>
    <xf numFmtId="43" fontId="0" fillId="0" borderId="13" xfId="1" applyFont="1" applyFill="1" applyBorder="1" applyProtection="1">
      <protection locked="0"/>
    </xf>
    <xf numFmtId="0" fontId="0" fillId="0" borderId="18" xfId="0" applyFill="1" applyBorder="1" applyProtection="1">
      <protection locked="0"/>
    </xf>
    <xf numFmtId="0" fontId="0" fillId="0" borderId="19" xfId="0" applyFill="1" applyBorder="1" applyProtection="1">
      <protection locked="0"/>
    </xf>
    <xf numFmtId="0" fontId="65" fillId="0" borderId="0" xfId="0" applyFont="1"/>
    <xf numFmtId="0" fontId="4" fillId="2" borderId="41" xfId="0" applyFont="1" applyFill="1" applyBorder="1" applyProtection="1">
      <protection locked="0"/>
    </xf>
    <xf numFmtId="0" fontId="4" fillId="0" borderId="18" xfId="0" applyFont="1" applyBorder="1"/>
    <xf numFmtId="0" fontId="4" fillId="0" borderId="31" xfId="0" applyFont="1" applyBorder="1" applyAlignment="1">
      <alignment horizontal="right"/>
    </xf>
    <xf numFmtId="14" fontId="4" fillId="0" borderId="11" xfId="19" applyNumberFormat="1" applyBorder="1" applyAlignment="1">
      <alignment horizontal="center"/>
    </xf>
    <xf numFmtId="0" fontId="4" fillId="2" borderId="33" xfId="19" applyFill="1" applyBorder="1" applyProtection="1">
      <protection locked="0"/>
    </xf>
    <xf numFmtId="10" fontId="4" fillId="2" borderId="33" xfId="13" applyNumberFormat="1" applyFill="1" applyBorder="1" applyProtection="1">
      <protection locked="0"/>
    </xf>
    <xf numFmtId="0" fontId="4" fillId="2" borderId="47" xfId="19" applyFill="1" applyBorder="1" applyProtection="1">
      <protection locked="0"/>
    </xf>
    <xf numFmtId="0" fontId="18" fillId="0" borderId="0" xfId="19" applyFont="1"/>
    <xf numFmtId="43" fontId="4" fillId="2" borderId="28" xfId="1" applyFill="1" applyBorder="1" applyProtection="1">
      <protection locked="0"/>
    </xf>
    <xf numFmtId="43" fontId="4" fillId="2" borderId="47" xfId="1" applyFill="1" applyBorder="1" applyProtection="1">
      <protection locked="0"/>
    </xf>
    <xf numFmtId="49" fontId="11" fillId="0" borderId="0" xfId="19" applyNumberFormat="1" applyFont="1" applyAlignment="1">
      <alignment horizontal="left"/>
    </xf>
    <xf numFmtId="0" fontId="11" fillId="0" borderId="0" xfId="19" applyFont="1" applyAlignment="1">
      <alignment horizontal="right"/>
    </xf>
    <xf numFmtId="49" fontId="4" fillId="2" borderId="3" xfId="19" quotePrefix="1" applyNumberFormat="1" applyFill="1" applyBorder="1" applyAlignment="1" applyProtection="1">
      <alignment horizontal="left"/>
      <protection locked="0"/>
    </xf>
    <xf numFmtId="43" fontId="4" fillId="0" borderId="29" xfId="1" applyBorder="1" applyAlignment="1">
      <alignment horizontal="right"/>
    </xf>
    <xf numFmtId="0" fontId="7" fillId="0" borderId="0" xfId="19" applyFont="1" applyAlignment="1">
      <alignment horizontal="center"/>
    </xf>
    <xf numFmtId="0" fontId="4" fillId="0" borderId="37" xfId="19" applyBorder="1" applyAlignment="1">
      <alignment horizontal="center" vertical="center" wrapText="1"/>
    </xf>
    <xf numFmtId="0" fontId="4" fillId="0" borderId="0" xfId="19" applyBorder="1" applyAlignment="1">
      <alignment horizontal="center"/>
    </xf>
    <xf numFmtId="0" fontId="0" fillId="0" borderId="66" xfId="0" applyBorder="1"/>
    <xf numFmtId="0" fontId="0" fillId="0" borderId="101" xfId="0" applyBorder="1" applyAlignment="1">
      <alignment horizontal="center" vertical="center" wrapText="1"/>
    </xf>
    <xf numFmtId="0" fontId="0" fillId="2" borderId="47"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0" borderId="0" xfId="0" applyAlignment="1">
      <alignment horizontal="center"/>
    </xf>
    <xf numFmtId="0" fontId="0" fillId="2" borderId="3" xfId="0" applyFill="1" applyBorder="1" applyAlignment="1" applyProtection="1">
      <alignment horizontal="left"/>
      <protection locked="0"/>
    </xf>
    <xf numFmtId="0" fontId="0" fillId="0" borderId="1" xfId="0" applyBorder="1" applyAlignment="1">
      <alignment horizontal="center" vertical="center"/>
    </xf>
    <xf numFmtId="0" fontId="0" fillId="0" borderId="0" xfId="0" applyFill="1" applyAlignment="1">
      <alignment horizontal="center"/>
    </xf>
    <xf numFmtId="0" fontId="0" fillId="0" borderId="46" xfId="0" applyBorder="1" applyAlignment="1">
      <alignment horizontal="center"/>
    </xf>
    <xf numFmtId="0" fontId="0" fillId="0" borderId="15" xfId="0" applyBorder="1" applyAlignment="1">
      <alignment horizontal="center"/>
    </xf>
    <xf numFmtId="0" fontId="0" fillId="2" borderId="20" xfId="0" applyFill="1" applyBorder="1" applyAlignment="1" applyProtection="1">
      <alignment horizontal="center"/>
      <protection locked="0"/>
    </xf>
    <xf numFmtId="0" fontId="0" fillId="2" borderId="3" xfId="0" applyFill="1" applyBorder="1" applyAlignment="1" applyProtection="1">
      <alignment horizontal="right"/>
      <protection locked="0"/>
    </xf>
    <xf numFmtId="43" fontId="4" fillId="0" borderId="0" xfId="19" applyNumberFormat="1" applyFont="1" applyFill="1" applyBorder="1" applyAlignment="1"/>
    <xf numFmtId="43" fontId="4" fillId="0" borderId="0" xfId="19" applyNumberFormat="1" applyFont="1" applyFill="1" applyBorder="1" applyAlignment="1">
      <alignment horizontal="center"/>
    </xf>
    <xf numFmtId="0" fontId="4" fillId="3" borderId="4" xfId="19" applyFill="1" applyBorder="1" applyAlignment="1" applyProtection="1">
      <alignment horizontal="center"/>
      <protection locked="0"/>
    </xf>
    <xf numFmtId="0" fontId="0" fillId="2" borderId="3" xfId="0" applyFill="1" applyBorder="1" applyAlignment="1" applyProtection="1">
      <alignment horizontal="center"/>
      <protection locked="0"/>
    </xf>
    <xf numFmtId="0" fontId="4" fillId="2" borderId="62" xfId="0" applyFont="1" applyFill="1" applyBorder="1" applyAlignment="1" applyProtection="1">
      <alignment vertical="center"/>
      <protection locked="0"/>
    </xf>
    <xf numFmtId="0" fontId="18" fillId="2" borderId="62" xfId="0" applyFont="1" applyFill="1" applyBorder="1" applyProtection="1">
      <protection locked="0"/>
    </xf>
    <xf numFmtId="0" fontId="14" fillId="2" borderId="0" xfId="0" applyFont="1" applyFill="1" applyProtection="1">
      <protection locked="0"/>
    </xf>
    <xf numFmtId="0" fontId="14" fillId="2" borderId="0" xfId="0" applyFont="1" applyFill="1" applyAlignment="1" applyProtection="1">
      <alignment horizontal="center"/>
      <protection locked="0"/>
    </xf>
    <xf numFmtId="0" fontId="14" fillId="2" borderId="0" xfId="0" applyFont="1" applyFill="1" applyAlignment="1" applyProtection="1">
      <alignment horizontal="left"/>
      <protection locked="0"/>
    </xf>
    <xf numFmtId="0" fontId="14" fillId="2" borderId="0" xfId="0" quotePrefix="1" applyFont="1" applyFill="1" applyAlignment="1" applyProtection="1">
      <alignment horizontal="center"/>
      <protection locked="0"/>
    </xf>
    <xf numFmtId="0" fontId="4" fillId="2" borderId="0" xfId="0" applyFont="1" applyFill="1" applyProtection="1">
      <protection locked="0"/>
    </xf>
    <xf numFmtId="43" fontId="14" fillId="0" borderId="0" xfId="0" applyNumberFormat="1" applyFont="1" applyFill="1" applyBorder="1" applyAlignment="1" applyProtection="1">
      <alignment horizontal="center"/>
    </xf>
    <xf numFmtId="43" fontId="14" fillId="3" borderId="3" xfId="1" applyFont="1" applyFill="1" applyBorder="1" applyProtection="1"/>
    <xf numFmtId="0" fontId="4" fillId="3" borderId="3" xfId="0" applyFont="1" applyFill="1" applyBorder="1" applyProtection="1"/>
    <xf numFmtId="0" fontId="4" fillId="3" borderId="3" xfId="0" applyFont="1" applyFill="1" applyBorder="1" applyAlignment="1" applyProtection="1">
      <alignment horizontal="center"/>
    </xf>
    <xf numFmtId="0" fontId="0" fillId="3" borderId="3" xfId="0" applyFill="1" applyBorder="1" applyAlignment="1" applyProtection="1">
      <alignment horizontal="center"/>
    </xf>
    <xf numFmtId="0" fontId="0" fillId="3" borderId="20" xfId="0" applyFill="1" applyBorder="1" applyAlignment="1" applyProtection="1">
      <alignment horizontal="center"/>
    </xf>
    <xf numFmtId="0" fontId="0" fillId="0" borderId="0" xfId="0" applyFill="1" applyProtection="1"/>
    <xf numFmtId="43" fontId="0" fillId="0" borderId="4" xfId="1" applyFont="1" applyFill="1" applyBorder="1" applyProtection="1"/>
    <xf numFmtId="43" fontId="0" fillId="0" borderId="0" xfId="1" applyFont="1" applyFill="1" applyProtection="1"/>
    <xf numFmtId="43" fontId="0" fillId="0" borderId="7" xfId="1" applyFont="1" applyFill="1" applyBorder="1" applyProtection="1"/>
    <xf numFmtId="0" fontId="4" fillId="0" borderId="3" xfId="0" applyFont="1" applyFill="1" applyBorder="1" applyProtection="1"/>
    <xf numFmtId="43" fontId="0" fillId="0" borderId="17" xfId="1" applyFont="1" applyFill="1" applyBorder="1" applyProtection="1"/>
    <xf numFmtId="0" fontId="0" fillId="3" borderId="3" xfId="0" applyFill="1" applyBorder="1" applyProtection="1"/>
    <xf numFmtId="43" fontId="0" fillId="3" borderId="34" xfId="1" applyFont="1" applyFill="1" applyBorder="1" applyProtection="1"/>
    <xf numFmtId="43" fontId="0" fillId="3" borderId="35" xfId="1" applyFont="1" applyFill="1" applyBorder="1" applyProtection="1"/>
    <xf numFmtId="43" fontId="0" fillId="0" borderId="27" xfId="1" applyFont="1" applyFill="1" applyBorder="1" applyProtection="1"/>
    <xf numFmtId="43" fontId="0" fillId="0" borderId="26" xfId="1" applyFont="1" applyFill="1" applyBorder="1" applyProtection="1"/>
    <xf numFmtId="43" fontId="0" fillId="3" borderId="80" xfId="1" applyFont="1" applyFill="1" applyBorder="1" applyProtection="1"/>
    <xf numFmtId="43" fontId="0" fillId="0" borderId="29" xfId="1" applyFont="1" applyFill="1" applyBorder="1" applyProtection="1"/>
    <xf numFmtId="0" fontId="0" fillId="0" borderId="0" xfId="0" applyAlignment="1" applyProtection="1">
      <alignment horizontal="center"/>
    </xf>
    <xf numFmtId="0" fontId="0" fillId="0" borderId="0" xfId="0" applyProtection="1"/>
    <xf numFmtId="0" fontId="4" fillId="0" borderId="0" xfId="0" applyFont="1" applyFill="1" applyProtection="1"/>
    <xf numFmtId="43" fontId="4" fillId="0" borderId="26" xfId="1" applyBorder="1" applyProtection="1"/>
    <xf numFmtId="0" fontId="4" fillId="0" borderId="26" xfId="0" applyFont="1" applyFill="1" applyBorder="1" applyProtection="1"/>
    <xf numFmtId="0" fontId="0" fillId="0" borderId="26" xfId="0" applyFill="1" applyBorder="1" applyProtection="1"/>
    <xf numFmtId="43" fontId="4" fillId="0" borderId="26" xfId="1" applyFill="1" applyBorder="1" applyProtection="1"/>
    <xf numFmtId="0" fontId="0" fillId="0" borderId="23" xfId="0" applyBorder="1" applyProtection="1"/>
    <xf numFmtId="0" fontId="0" fillId="0" borderId="31" xfId="0" applyBorder="1" applyProtection="1"/>
    <xf numFmtId="43" fontId="0" fillId="0" borderId="22" xfId="1" applyFont="1" applyBorder="1" applyProtection="1"/>
    <xf numFmtId="43" fontId="0" fillId="0" borderId="48" xfId="1" applyFont="1" applyBorder="1" applyProtection="1"/>
    <xf numFmtId="0" fontId="0" fillId="0" borderId="13" xfId="0" applyBorder="1" applyProtection="1"/>
    <xf numFmtId="0" fontId="0" fillId="0" borderId="16" xfId="0" applyBorder="1" applyAlignment="1" applyProtection="1">
      <alignment horizontal="center"/>
    </xf>
    <xf numFmtId="14" fontId="0" fillId="0" borderId="16" xfId="0" applyNumberFormat="1" applyBorder="1" applyAlignment="1" applyProtection="1">
      <alignment horizontal="center"/>
    </xf>
    <xf numFmtId="0" fontId="0" fillId="0" borderId="14" xfId="0" applyBorder="1" applyProtection="1"/>
    <xf numFmtId="43" fontId="18" fillId="0" borderId="47" xfId="1" applyFont="1" applyBorder="1" applyAlignment="1" applyProtection="1">
      <alignment horizontal="center"/>
    </xf>
    <xf numFmtId="43" fontId="18" fillId="0" borderId="17" xfId="1" applyFont="1" applyFill="1" applyBorder="1" applyAlignment="1" applyProtection="1">
      <alignment horizontal="center"/>
    </xf>
    <xf numFmtId="43" fontId="18" fillId="0" borderId="17" xfId="1" applyFont="1" applyBorder="1" applyAlignment="1" applyProtection="1">
      <alignment horizontal="center"/>
    </xf>
    <xf numFmtId="43" fontId="14" fillId="0" borderId="6" xfId="1" applyFont="1" applyFill="1" applyBorder="1" applyProtection="1"/>
    <xf numFmtId="43" fontId="16" fillId="0" borderId="7" xfId="1" applyFont="1" applyBorder="1" applyAlignment="1" applyProtection="1">
      <alignment horizontal="center"/>
    </xf>
    <xf numFmtId="43" fontId="14" fillId="0" borderId="7" xfId="1" applyFont="1" applyBorder="1" applyProtection="1"/>
    <xf numFmtId="43" fontId="14" fillId="3" borderId="7" xfId="1" applyFont="1" applyFill="1" applyBorder="1" applyProtection="1"/>
    <xf numFmtId="43" fontId="14" fillId="0" borderId="29" xfId="1" applyFont="1" applyBorder="1" applyProtection="1"/>
    <xf numFmtId="0" fontId="4" fillId="0" borderId="3" xfId="0" applyFont="1" applyBorder="1" applyProtection="1"/>
    <xf numFmtId="43" fontId="14" fillId="3" borderId="10" xfId="1" applyFont="1" applyFill="1" applyBorder="1" applyProtection="1"/>
    <xf numFmtId="43" fontId="14" fillId="3" borderId="15" xfId="1" applyFont="1" applyFill="1" applyBorder="1" applyProtection="1"/>
    <xf numFmtId="0" fontId="4" fillId="3" borderId="0" xfId="0" applyFont="1" applyFill="1" applyProtection="1"/>
    <xf numFmtId="43" fontId="14" fillId="3" borderId="29" xfId="1" applyFont="1" applyFill="1" applyBorder="1" applyProtection="1"/>
    <xf numFmtId="43" fontId="16" fillId="2" borderId="64" xfId="1" applyFont="1" applyFill="1" applyBorder="1" applyAlignment="1" applyProtection="1">
      <alignment horizontal="center"/>
      <protection locked="0"/>
    </xf>
    <xf numFmtId="43" fontId="16" fillId="2" borderId="7" xfId="1" applyFont="1" applyFill="1" applyBorder="1" applyAlignment="1" applyProtection="1">
      <alignment horizontal="center"/>
      <protection locked="0"/>
    </xf>
    <xf numFmtId="0" fontId="4" fillId="0" borderId="18" xfId="0" applyFont="1" applyFill="1" applyBorder="1" applyProtection="1"/>
    <xf numFmtId="0" fontId="0" fillId="0" borderId="18" xfId="0" applyFill="1" applyBorder="1" applyProtection="1"/>
    <xf numFmtId="43" fontId="14" fillId="0" borderId="28" xfId="1" applyFont="1" applyFill="1" applyBorder="1" applyProtection="1"/>
    <xf numFmtId="43" fontId="0" fillId="0" borderId="47" xfId="1" applyFont="1" applyFill="1" applyBorder="1" applyProtection="1"/>
    <xf numFmtId="0" fontId="0" fillId="0" borderId="9" xfId="0" applyBorder="1" applyProtection="1"/>
    <xf numFmtId="0" fontId="0" fillId="0" borderId="4" xfId="0" applyBorder="1" applyAlignment="1" applyProtection="1">
      <alignment horizontal="center"/>
    </xf>
    <xf numFmtId="0" fontId="0" fillId="0" borderId="4" xfId="0" applyBorder="1" applyProtection="1"/>
    <xf numFmtId="0" fontId="0" fillId="0" borderId="10" xfId="0" applyBorder="1" applyAlignment="1" applyProtection="1">
      <alignment horizontal="center"/>
    </xf>
    <xf numFmtId="0" fontId="4" fillId="0" borderId="10" xfId="0" applyFont="1" applyBorder="1" applyAlignment="1" applyProtection="1">
      <alignment horizontal="center"/>
    </xf>
    <xf numFmtId="0" fontId="0" fillId="0" borderId="10" xfId="0" applyFill="1" applyBorder="1" applyAlignment="1" applyProtection="1">
      <alignment horizontal="center"/>
    </xf>
    <xf numFmtId="14" fontId="0" fillId="0" borderId="10" xfId="0" applyNumberFormat="1" applyBorder="1" applyAlignment="1" applyProtection="1">
      <alignment horizontal="center"/>
    </xf>
    <xf numFmtId="0" fontId="0" fillId="0" borderId="10" xfId="0" applyBorder="1" applyProtection="1"/>
    <xf numFmtId="0" fontId="0" fillId="0" borderId="15" xfId="0" applyBorder="1" applyAlignment="1" applyProtection="1">
      <alignment horizontal="center"/>
    </xf>
    <xf numFmtId="0" fontId="0" fillId="0" borderId="8" xfId="0" applyBorder="1" applyProtection="1"/>
    <xf numFmtId="0" fontId="0" fillId="0" borderId="11" xfId="0" applyBorder="1" applyProtection="1"/>
    <xf numFmtId="0" fontId="0" fillId="0" borderId="11" xfId="0" applyBorder="1" applyAlignment="1" applyProtection="1">
      <alignment horizontal="center"/>
    </xf>
    <xf numFmtId="0" fontId="0" fillId="0" borderId="12" xfId="0" applyBorder="1" applyProtection="1"/>
    <xf numFmtId="0" fontId="0" fillId="0" borderId="19" xfId="0" applyFill="1" applyBorder="1" applyProtection="1"/>
    <xf numFmtId="43" fontId="0" fillId="0" borderId="33" xfId="1" applyFont="1" applyFill="1" applyBorder="1" applyProtection="1"/>
    <xf numFmtId="43" fontId="0" fillId="0" borderId="13" xfId="1" applyFont="1" applyFill="1" applyBorder="1" applyProtection="1"/>
    <xf numFmtId="43" fontId="0" fillId="0" borderId="99" xfId="1" applyFont="1" applyFill="1" applyBorder="1" applyProtection="1"/>
    <xf numFmtId="43" fontId="0" fillId="0" borderId="100" xfId="1" applyFont="1" applyFill="1" applyBorder="1" applyProtection="1"/>
    <xf numFmtId="43" fontId="0" fillId="0" borderId="16" xfId="1" applyFont="1" applyFill="1" applyBorder="1" applyProtection="1"/>
    <xf numFmtId="43" fontId="0" fillId="0" borderId="14" xfId="1" applyFont="1" applyBorder="1" applyProtection="1"/>
    <xf numFmtId="43" fontId="14" fillId="0" borderId="7" xfId="1" applyFont="1" applyFill="1" applyBorder="1" applyProtection="1"/>
    <xf numFmtId="43" fontId="14" fillId="0" borderId="29" xfId="1" applyFont="1" applyFill="1" applyBorder="1" applyProtection="1"/>
    <xf numFmtId="0" fontId="4" fillId="0" borderId="0" xfId="19" applyFill="1" applyAlignment="1">
      <alignment horizontal="center"/>
    </xf>
    <xf numFmtId="43" fontId="4" fillId="0" borderId="20" xfId="1" applyFill="1" applyBorder="1"/>
    <xf numFmtId="0" fontId="0" fillId="2" borderId="93" xfId="0" applyNumberFormat="1" applyFill="1" applyBorder="1" applyAlignment="1" applyProtection="1">
      <alignment horizontal="left"/>
      <protection locked="0"/>
    </xf>
    <xf numFmtId="43" fontId="14" fillId="0" borderId="10" xfId="1" applyFont="1" applyFill="1" applyBorder="1" applyProtection="1"/>
    <xf numFmtId="43" fontId="14" fillId="0" borderId="15" xfId="1" applyFont="1" applyFill="1" applyBorder="1" applyProtection="1"/>
    <xf numFmtId="43" fontId="14" fillId="0" borderId="3" xfId="1" applyFont="1" applyFill="1" applyBorder="1" applyProtection="1"/>
    <xf numFmtId="0" fontId="4" fillId="0" borderId="3" xfId="19" applyFont="1" applyFill="1" applyBorder="1" applyProtection="1"/>
    <xf numFmtId="10" fontId="4" fillId="2" borderId="28" xfId="13" applyNumberFormat="1" applyFill="1" applyBorder="1" applyProtection="1">
      <protection locked="0"/>
    </xf>
    <xf numFmtId="10" fontId="4" fillId="2" borderId="29" xfId="13" applyNumberFormat="1" applyFill="1" applyBorder="1" applyProtection="1">
      <protection locked="0"/>
    </xf>
    <xf numFmtId="10" fontId="4" fillId="2" borderId="28" xfId="13" applyNumberFormat="1" applyFill="1" applyBorder="1" applyAlignment="1" applyProtection="1">
      <alignment horizontal="center"/>
      <protection locked="0"/>
    </xf>
    <xf numFmtId="0" fontId="4" fillId="0" borderId="0" xfId="19" applyFill="1" applyAlignment="1">
      <alignment horizontal="center"/>
    </xf>
    <xf numFmtId="43" fontId="4" fillId="0" borderId="19" xfId="1" applyFill="1" applyBorder="1" applyAlignment="1">
      <alignment horizontal="right"/>
    </xf>
    <xf numFmtId="43" fontId="4" fillId="0" borderId="20" xfId="1" applyFill="1" applyBorder="1" applyProtection="1">
      <protection locked="0"/>
    </xf>
    <xf numFmtId="0" fontId="4" fillId="0" borderId="15" xfId="0" applyFont="1" applyBorder="1" applyAlignment="1">
      <alignment horizontal="center"/>
    </xf>
    <xf numFmtId="43" fontId="4" fillId="2" borderId="3" xfId="1" applyNumberFormat="1" applyFill="1" applyBorder="1" applyProtection="1">
      <protection locked="0"/>
    </xf>
    <xf numFmtId="43" fontId="4" fillId="2" borderId="7" xfId="1" applyNumberFormat="1" applyFill="1" applyBorder="1" applyProtection="1">
      <protection locked="0"/>
    </xf>
    <xf numFmtId="43" fontId="4" fillId="2" borderId="18" xfId="1" applyNumberFormat="1" applyFill="1" applyBorder="1" applyProtection="1">
      <protection locked="0"/>
    </xf>
    <xf numFmtId="43" fontId="0" fillId="2" borderId="28" xfId="1" applyFont="1" applyFill="1" applyBorder="1" applyProtection="1">
      <protection locked="0"/>
    </xf>
    <xf numFmtId="0" fontId="66" fillId="0" borderId="0" xfId="85" applyFont="1" applyAlignment="1">
      <alignment horizontal="left"/>
    </xf>
    <xf numFmtId="0" fontId="67" fillId="0" borderId="0" xfId="85" quotePrefix="1" applyFont="1" applyAlignment="1">
      <alignment horizontal="left" vertical="center"/>
    </xf>
    <xf numFmtId="0" fontId="14" fillId="0" borderId="0" xfId="85" applyFont="1"/>
    <xf numFmtId="0" fontId="2" fillId="0" borderId="0" xfId="85"/>
    <xf numFmtId="165" fontId="68" fillId="0" borderId="0" xfId="86" applyNumberFormat="1" applyFont="1" applyAlignment="1">
      <alignment horizontal="right" vertical="center" wrapText="1"/>
    </xf>
    <xf numFmtId="0" fontId="68" fillId="0" borderId="0" xfId="85" applyFont="1" applyAlignment="1">
      <alignment horizontal="left" vertical="center" wrapText="1"/>
    </xf>
    <xf numFmtId="0" fontId="68" fillId="0" borderId="0" xfId="85" quotePrefix="1" applyFont="1" applyAlignment="1">
      <alignment horizontal="left" vertical="center" wrapText="1"/>
    </xf>
    <xf numFmtId="0" fontId="2" fillId="0" borderId="0" xfId="85" applyAlignment="1">
      <alignment wrapText="1"/>
    </xf>
    <xf numFmtId="0" fontId="68" fillId="0" borderId="0" xfId="85" applyFont="1" applyAlignment="1">
      <alignment vertical="center" wrapText="1"/>
    </xf>
    <xf numFmtId="0" fontId="68" fillId="0" borderId="0" xfId="85" applyFont="1" applyAlignment="1">
      <alignment horizontal="left" vertical="center"/>
    </xf>
    <xf numFmtId="0" fontId="66" fillId="0" borderId="0" xfId="85" applyFont="1" applyAlignment="1">
      <alignment horizontal="left" wrapText="1"/>
    </xf>
    <xf numFmtId="0" fontId="2" fillId="0" borderId="0" xfId="85" applyAlignment="1">
      <alignment vertical="center" wrapText="1"/>
    </xf>
    <xf numFmtId="43" fontId="0" fillId="2" borderId="64" xfId="1" applyFont="1" applyFill="1" applyBorder="1" applyAlignment="1" applyProtection="1">
      <protection locked="0"/>
    </xf>
    <xf numFmtId="43" fontId="0" fillId="0" borderId="6" xfId="1" applyFont="1" applyFill="1" applyBorder="1" applyAlignment="1"/>
    <xf numFmtId="49" fontId="58" fillId="0" borderId="0" xfId="0" applyNumberFormat="1" applyFont="1" applyAlignment="1" applyProtection="1">
      <alignment horizontal="left"/>
    </xf>
    <xf numFmtId="37" fontId="0" fillId="2" borderId="92" xfId="0" applyNumberFormat="1" applyFill="1" applyBorder="1" applyAlignment="1" applyProtection="1">
      <alignment horizontal="center"/>
      <protection locked="0"/>
    </xf>
    <xf numFmtId="0" fontId="7" fillId="0" borderId="0" xfId="0" applyFont="1" applyFill="1" applyBorder="1" applyAlignment="1"/>
    <xf numFmtId="49" fontId="0" fillId="0" borderId="0" xfId="0" applyNumberFormat="1" applyFill="1" applyBorder="1" applyAlignment="1">
      <alignment horizontal="center"/>
    </xf>
    <xf numFmtId="0" fontId="0" fillId="0" borderId="0" xfId="0" applyFill="1" applyBorder="1" applyAlignment="1">
      <alignment horizontal="right"/>
    </xf>
    <xf numFmtId="43" fontId="0" fillId="0" borderId="0" xfId="1" applyFont="1" applyFill="1" applyBorder="1" applyProtection="1">
      <protection locked="0"/>
    </xf>
    <xf numFmtId="49" fontId="0" fillId="0" borderId="0" xfId="0" applyNumberFormat="1" applyFill="1" applyBorder="1" applyAlignment="1">
      <alignment horizontal="left"/>
    </xf>
    <xf numFmtId="49" fontId="17" fillId="0" borderId="0" xfId="0" applyNumberFormat="1" applyFont="1" applyFill="1" applyBorder="1" applyAlignment="1">
      <alignment horizontal="left"/>
    </xf>
    <xf numFmtId="43" fontId="14" fillId="0" borderId="81" xfId="1" applyFont="1" applyBorder="1"/>
    <xf numFmtId="43" fontId="14" fillId="2" borderId="17" xfId="1" applyFont="1" applyFill="1" applyBorder="1" applyProtection="1">
      <protection locked="0"/>
    </xf>
    <xf numFmtId="43" fontId="0" fillId="0" borderId="6" xfId="1" applyFont="1" applyFill="1" applyBorder="1"/>
    <xf numFmtId="10" fontId="0" fillId="2" borderId="47" xfId="13" applyNumberFormat="1" applyFont="1" applyFill="1" applyBorder="1" applyProtection="1">
      <protection locked="0"/>
    </xf>
    <xf numFmtId="10" fontId="0" fillId="2" borderId="17" xfId="13" applyNumberFormat="1" applyFont="1" applyFill="1" applyBorder="1" applyProtection="1">
      <protection locked="0"/>
    </xf>
    <xf numFmtId="10" fontId="0" fillId="2" borderId="47" xfId="0" applyNumberFormat="1" applyFill="1" applyBorder="1" applyAlignment="1" applyProtection="1">
      <alignment horizontal="right"/>
      <protection locked="0"/>
    </xf>
    <xf numFmtId="10" fontId="0" fillId="2" borderId="17" xfId="0" applyNumberFormat="1" applyFill="1" applyBorder="1" applyAlignment="1" applyProtection="1">
      <alignment horizontal="right"/>
      <protection locked="0"/>
    </xf>
    <xf numFmtId="170" fontId="0" fillId="2" borderId="7" xfId="13" applyNumberFormat="1" applyFont="1" applyFill="1" applyBorder="1" applyProtection="1">
      <protection locked="0"/>
    </xf>
    <xf numFmtId="170" fontId="0" fillId="2" borderId="25" xfId="13" applyNumberFormat="1" applyFont="1" applyFill="1" applyBorder="1" applyProtection="1">
      <protection locked="0"/>
    </xf>
    <xf numFmtId="170" fontId="4" fillId="2" borderId="33" xfId="13" applyNumberFormat="1" applyFill="1" applyBorder="1" applyAlignment="1" applyProtection="1">
      <protection locked="0"/>
    </xf>
    <xf numFmtId="170" fontId="4" fillId="2" borderId="7" xfId="13" applyNumberFormat="1" applyFill="1" applyBorder="1" applyProtection="1">
      <protection locked="0"/>
    </xf>
    <xf numFmtId="170" fontId="4" fillId="2" borderId="6" xfId="13" applyNumberFormat="1" applyFill="1" applyBorder="1" applyProtection="1">
      <protection locked="0"/>
    </xf>
    <xf numFmtId="170" fontId="4" fillId="2" borderId="25" xfId="13" applyNumberFormat="1" applyFill="1" applyBorder="1" applyProtection="1">
      <protection locked="0"/>
    </xf>
    <xf numFmtId="0" fontId="0" fillId="0" borderId="0" xfId="0" applyAlignment="1" applyProtection="1">
      <alignment horizontal="center"/>
    </xf>
    <xf numFmtId="0" fontId="25" fillId="0" borderId="0" xfId="0" applyFont="1" applyAlignment="1">
      <alignment horizontal="center"/>
    </xf>
    <xf numFmtId="0" fontId="0" fillId="0" borderId="0" xfId="0" applyAlignment="1">
      <alignment horizontal="center"/>
    </xf>
    <xf numFmtId="0" fontId="0" fillId="0" borderId="1" xfId="0" applyBorder="1" applyAlignment="1">
      <alignment horizontal="center" vertical="center"/>
    </xf>
    <xf numFmtId="0" fontId="0" fillId="0" borderId="0" xfId="0" applyAlignment="1" applyProtection="1">
      <alignment horizontal="center"/>
    </xf>
    <xf numFmtId="0" fontId="0" fillId="0" borderId="37" xfId="0" applyBorder="1" applyAlignment="1">
      <alignment horizontal="center" vertical="center"/>
    </xf>
    <xf numFmtId="0" fontId="0" fillId="0" borderId="2" xfId="0" applyBorder="1" applyAlignment="1" applyProtection="1">
      <alignment horizontal="center" vertical="center"/>
    </xf>
    <xf numFmtId="0" fontId="0" fillId="0" borderId="1" xfId="0" applyBorder="1" applyAlignment="1" applyProtection="1">
      <alignment horizontal="center" vertical="center"/>
    </xf>
    <xf numFmtId="43" fontId="0" fillId="0" borderId="53" xfId="1" applyFont="1" applyFill="1" applyBorder="1" applyAlignment="1" applyProtection="1"/>
    <xf numFmtId="0" fontId="4" fillId="0" borderId="26" xfId="0" applyFont="1" applyBorder="1" applyAlignment="1">
      <alignment horizontal="right"/>
    </xf>
    <xf numFmtId="43" fontId="18" fillId="2" borderId="29" xfId="1" applyFont="1" applyFill="1" applyBorder="1" applyAlignment="1" applyProtection="1">
      <alignment horizontal="center"/>
      <protection locked="0"/>
    </xf>
    <xf numFmtId="43" fontId="18" fillId="2" borderId="7" xfId="1" applyFont="1" applyFill="1" applyBorder="1" applyAlignment="1" applyProtection="1">
      <alignment horizontal="center"/>
      <protection locked="0"/>
    </xf>
    <xf numFmtId="43" fontId="18" fillId="0" borderId="7" xfId="1" applyFont="1" applyBorder="1" applyAlignment="1" applyProtection="1">
      <alignment horizontal="center"/>
    </xf>
    <xf numFmtId="43" fontId="0" fillId="0" borderId="6" xfId="1" applyFont="1" applyFill="1" applyBorder="1" applyAlignment="1" applyProtection="1"/>
    <xf numFmtId="43" fontId="0" fillId="3" borderId="7" xfId="1" applyFont="1" applyFill="1" applyBorder="1" applyProtection="1"/>
    <xf numFmtId="43" fontId="0" fillId="2" borderId="27" xfId="1" applyFont="1" applyFill="1" applyBorder="1" applyAlignment="1" applyProtection="1">
      <protection locked="0"/>
    </xf>
    <xf numFmtId="43" fontId="18" fillId="0" borderId="3" xfId="1" applyFont="1" applyBorder="1" applyAlignment="1" applyProtection="1">
      <alignment horizontal="center"/>
    </xf>
    <xf numFmtId="43" fontId="18" fillId="0" borderId="32" xfId="1" applyFont="1" applyBorder="1" applyAlignment="1" applyProtection="1">
      <alignment horizontal="center"/>
    </xf>
    <xf numFmtId="43" fontId="0" fillId="0" borderId="12" xfId="1" applyFont="1" applyBorder="1" applyProtection="1"/>
    <xf numFmtId="43" fontId="0" fillId="0" borderId="26" xfId="1" applyFont="1" applyBorder="1" applyProtection="1"/>
    <xf numFmtId="49" fontId="0" fillId="0" borderId="3" xfId="0" applyNumberFormat="1" applyBorder="1" applyAlignment="1" applyProtection="1">
      <alignment horizontal="center"/>
    </xf>
    <xf numFmtId="43" fontId="18" fillId="0" borderId="29" xfId="1" applyFont="1" applyBorder="1" applyAlignment="1" applyProtection="1">
      <alignment horizontal="center"/>
    </xf>
    <xf numFmtId="43" fontId="0" fillId="0" borderId="29" xfId="1" applyFont="1" applyBorder="1" applyProtection="1"/>
    <xf numFmtId="49" fontId="0" fillId="0" borderId="0" xfId="0" applyNumberFormat="1" applyAlignment="1" applyProtection="1">
      <alignment horizontal="center"/>
    </xf>
    <xf numFmtId="43" fontId="0" fillId="0" borderId="30" xfId="1" applyFont="1" applyBorder="1" applyProtection="1"/>
    <xf numFmtId="0" fontId="18" fillId="0" borderId="0" xfId="0" applyFont="1" applyAlignment="1">
      <alignment horizontal="center"/>
    </xf>
    <xf numFmtId="0" fontId="18" fillId="0" borderId="26" xfId="0" applyFont="1" applyBorder="1" applyAlignment="1">
      <alignment horizontal="center"/>
    </xf>
    <xf numFmtId="0" fontId="17" fillId="0" borderId="0" xfId="0" applyFont="1" applyBorder="1" applyAlignment="1">
      <alignment horizontal="center"/>
    </xf>
    <xf numFmtId="0" fontId="25" fillId="0" borderId="0" xfId="0" applyFont="1" applyAlignment="1">
      <alignment horizontal="center"/>
    </xf>
    <xf numFmtId="49" fontId="0" fillId="0" borderId="0" xfId="0" applyNumberFormat="1" applyAlignment="1">
      <alignment horizontal="center"/>
    </xf>
    <xf numFmtId="0" fontId="0" fillId="0" borderId="0" xfId="0" applyAlignment="1">
      <alignment horizontal="center"/>
    </xf>
    <xf numFmtId="0" fontId="0" fillId="0" borderId="1" xfId="0" applyBorder="1" applyAlignment="1">
      <alignment horizontal="center" vertical="center"/>
    </xf>
    <xf numFmtId="0" fontId="0" fillId="0" borderId="1" xfId="0" applyBorder="1" applyAlignment="1" applyProtection="1">
      <alignment horizontal="center" vertical="center"/>
    </xf>
    <xf numFmtId="0" fontId="0" fillId="0" borderId="21" xfId="0" applyBorder="1" applyAlignment="1">
      <alignment horizontal="center"/>
    </xf>
    <xf numFmtId="0" fontId="0" fillId="0" borderId="0" xfId="0" applyAlignment="1" applyProtection="1">
      <alignment horizontal="center"/>
    </xf>
    <xf numFmtId="0" fontId="0" fillId="0" borderId="51" xfId="0" applyBorder="1" applyAlignment="1">
      <alignment horizontal="center"/>
    </xf>
    <xf numFmtId="0" fontId="0" fillId="0" borderId="15" xfId="0" applyBorder="1" applyAlignment="1">
      <alignment horizontal="center"/>
    </xf>
    <xf numFmtId="43" fontId="18" fillId="0" borderId="29" xfId="1" applyFont="1" applyBorder="1" applyAlignment="1">
      <alignment horizontal="center"/>
    </xf>
    <xf numFmtId="43" fontId="18" fillId="0" borderId="20" xfId="1" applyFont="1" applyBorder="1" applyAlignment="1">
      <alignment horizontal="center"/>
    </xf>
    <xf numFmtId="43" fontId="18" fillId="0" borderId="38" xfId="1" applyFont="1" applyBorder="1" applyAlignment="1">
      <alignment horizontal="center"/>
    </xf>
    <xf numFmtId="43" fontId="4" fillId="0" borderId="29" xfId="1" applyBorder="1" applyAlignment="1">
      <alignment horizontal="right"/>
    </xf>
    <xf numFmtId="43" fontId="4" fillId="0" borderId="20" xfId="1" applyBorder="1" applyAlignment="1">
      <alignment horizontal="right"/>
    </xf>
    <xf numFmtId="0" fontId="0" fillId="2" borderId="3" xfId="0" applyFill="1" applyBorder="1" applyAlignment="1" applyProtection="1">
      <alignment horizontal="left"/>
      <protection locked="0"/>
    </xf>
    <xf numFmtId="0" fontId="0" fillId="2" borderId="20" xfId="0" applyFill="1" applyBorder="1" applyAlignment="1" applyProtection="1">
      <alignment horizontal="left"/>
      <protection locked="0"/>
    </xf>
    <xf numFmtId="0" fontId="0" fillId="0" borderId="0" xfId="0" applyBorder="1" applyAlignment="1">
      <alignment horizontal="center"/>
    </xf>
    <xf numFmtId="43" fontId="18" fillId="0" borderId="6" xfId="1" applyFont="1" applyBorder="1" applyAlignment="1">
      <alignment horizontal="center"/>
    </xf>
    <xf numFmtId="0" fontId="4" fillId="0" borderId="1" xfId="19" applyFill="1" applyBorder="1" applyAlignment="1">
      <alignment horizontal="center" vertical="center"/>
    </xf>
    <xf numFmtId="0" fontId="4" fillId="0" borderId="0" xfId="19" applyFill="1" applyAlignment="1">
      <alignment horizontal="center"/>
    </xf>
    <xf numFmtId="0" fontId="17" fillId="0" borderId="0" xfId="19" applyFont="1" applyFill="1" applyAlignment="1">
      <alignment horizontal="center"/>
    </xf>
    <xf numFmtId="0" fontId="4" fillId="0" borderId="37" xfId="19" applyBorder="1" applyAlignment="1">
      <alignment horizontal="center" vertical="center" wrapText="1"/>
    </xf>
    <xf numFmtId="0" fontId="4" fillId="0" borderId="0" xfId="19" applyBorder="1" applyAlignment="1">
      <alignment horizontal="center"/>
    </xf>
    <xf numFmtId="43" fontId="14" fillId="2" borderId="47" xfId="1" applyFont="1" applyFill="1" applyBorder="1" applyAlignment="1" applyProtection="1">
      <protection locked="0"/>
    </xf>
    <xf numFmtId="43" fontId="14" fillId="2" borderId="50" xfId="1" applyFont="1" applyFill="1" applyBorder="1" applyProtection="1">
      <protection locked="0"/>
    </xf>
    <xf numFmtId="43" fontId="14" fillId="2" borderId="17" xfId="1" applyFont="1" applyFill="1" applyBorder="1" applyProtection="1"/>
    <xf numFmtId="43" fontId="14" fillId="2" borderId="25" xfId="1" applyFont="1" applyFill="1" applyBorder="1" applyProtection="1"/>
    <xf numFmtId="43" fontId="14" fillId="2" borderId="50" xfId="1" applyFont="1" applyFill="1" applyBorder="1" applyProtection="1"/>
    <xf numFmtId="0" fontId="0" fillId="0" borderId="0" xfId="0" applyBorder="1" applyProtection="1">
      <protection locked="0"/>
    </xf>
    <xf numFmtId="43" fontId="0" fillId="0" borderId="33" xfId="1" applyFont="1" applyBorder="1" applyProtection="1"/>
    <xf numFmtId="43" fontId="0" fillId="0" borderId="7" xfId="1" applyFont="1" applyBorder="1" applyProtection="1"/>
    <xf numFmtId="43" fontId="0" fillId="0" borderId="27" xfId="1" applyFont="1" applyBorder="1" applyProtection="1"/>
    <xf numFmtId="43" fontId="0" fillId="0" borderId="11" xfId="1" applyFont="1" applyBorder="1" applyProtection="1"/>
    <xf numFmtId="43" fontId="0" fillId="2" borderId="36" xfId="1" applyFont="1" applyFill="1" applyBorder="1" applyProtection="1">
      <protection locked="0"/>
    </xf>
    <xf numFmtId="0" fontId="0" fillId="0" borderId="13" xfId="0" applyFill="1" applyBorder="1" applyProtection="1"/>
    <xf numFmtId="0" fontId="0" fillId="0" borderId="16" xfId="0" applyFill="1" applyBorder="1" applyAlignment="1" applyProtection="1">
      <alignment horizontal="center"/>
    </xf>
    <xf numFmtId="14" fontId="0" fillId="0" borderId="16" xfId="0" applyNumberFormat="1" applyFill="1" applyBorder="1" applyAlignment="1" applyProtection="1">
      <alignment horizontal="center"/>
    </xf>
    <xf numFmtId="0" fontId="0" fillId="0" borderId="14" xfId="0" applyFill="1" applyBorder="1" applyProtection="1"/>
    <xf numFmtId="0" fontId="53" fillId="0" borderId="0" xfId="0" applyFont="1" applyFill="1" applyProtection="1"/>
    <xf numFmtId="0" fontId="4" fillId="0" borderId="20" xfId="0" applyFont="1" applyFill="1" applyBorder="1" applyProtection="1"/>
    <xf numFmtId="43" fontId="4" fillId="0" borderId="7" xfId="1" applyFont="1" applyFill="1" applyBorder="1" applyProtection="1"/>
    <xf numFmtId="43" fontId="4" fillId="0" borderId="17" xfId="1" applyFont="1" applyFill="1" applyBorder="1" applyProtection="1"/>
    <xf numFmtId="0" fontId="4" fillId="0" borderId="0" xfId="0" applyFont="1" applyAlignment="1" applyProtection="1">
      <alignment horizontal="center"/>
    </xf>
    <xf numFmtId="0" fontId="4" fillId="0" borderId="19" xfId="0" applyFont="1" applyFill="1" applyBorder="1" applyProtection="1"/>
    <xf numFmtId="43" fontId="14" fillId="2" borderId="33" xfId="1" applyFont="1" applyFill="1" applyBorder="1" applyProtection="1">
      <protection locked="0"/>
    </xf>
    <xf numFmtId="43" fontId="14" fillId="2" borderId="81" xfId="1" applyFont="1" applyFill="1" applyBorder="1" applyProtection="1">
      <protection locked="0"/>
    </xf>
    <xf numFmtId="0" fontId="18" fillId="0" borderId="37" xfId="0" applyFont="1" applyBorder="1" applyAlignment="1" applyProtection="1">
      <alignment horizontal="center" vertical="center"/>
    </xf>
    <xf numFmtId="0" fontId="25" fillId="0" borderId="0" xfId="0" applyFont="1" applyAlignment="1" applyProtection="1">
      <alignment horizontal="center"/>
    </xf>
    <xf numFmtId="0" fontId="18" fillId="0" borderId="29" xfId="0" applyFont="1" applyBorder="1" applyAlignment="1" applyProtection="1">
      <alignment horizontal="center"/>
    </xf>
    <xf numFmtId="0" fontId="18" fillId="0" borderId="7" xfId="0" applyFont="1" applyBorder="1" applyAlignment="1" applyProtection="1">
      <alignment horizontal="center"/>
    </xf>
    <xf numFmtId="0" fontId="18" fillId="0" borderId="53" xfId="0" applyFont="1" applyBorder="1" applyAlignment="1" applyProtection="1">
      <alignment horizontal="center"/>
    </xf>
    <xf numFmtId="0" fontId="18" fillId="0" borderId="64" xfId="0" applyFont="1" applyBorder="1" applyAlignment="1" applyProtection="1">
      <alignment horizontal="center"/>
    </xf>
    <xf numFmtId="43" fontId="0" fillId="0" borderId="6" xfId="1" applyFont="1" applyBorder="1" applyProtection="1"/>
    <xf numFmtId="0" fontId="0" fillId="0" borderId="37" xfId="0" applyBorder="1" applyAlignment="1" applyProtection="1">
      <alignment horizontal="center" vertical="center"/>
    </xf>
    <xf numFmtId="0" fontId="18" fillId="0" borderId="33" xfId="0" applyFont="1" applyBorder="1" applyAlignment="1" applyProtection="1">
      <alignment horizontal="center"/>
    </xf>
    <xf numFmtId="0" fontId="0" fillId="0" borderId="1" xfId="0" applyBorder="1" applyProtection="1"/>
    <xf numFmtId="43" fontId="0" fillId="3" borderId="28" xfId="1" applyFont="1" applyFill="1" applyBorder="1" applyProtection="1"/>
    <xf numFmtId="43" fontId="18" fillId="0" borderId="18" xfId="1" applyFont="1" applyBorder="1" applyAlignment="1" applyProtection="1">
      <alignment horizontal="center"/>
    </xf>
    <xf numFmtId="43" fontId="18" fillId="0" borderId="20" xfId="1" applyFont="1" applyBorder="1" applyAlignment="1" applyProtection="1">
      <alignment horizontal="center"/>
    </xf>
    <xf numFmtId="49" fontId="0" fillId="0" borderId="18" xfId="0" applyNumberFormat="1" applyBorder="1" applyAlignment="1" applyProtection="1">
      <alignment horizontal="center"/>
    </xf>
    <xf numFmtId="0" fontId="0" fillId="0" borderId="19" xfId="0" applyBorder="1" applyAlignment="1" applyProtection="1">
      <alignment horizontal="right"/>
    </xf>
    <xf numFmtId="0" fontId="0" fillId="0" borderId="20" xfId="0" applyBorder="1" applyAlignment="1" applyProtection="1">
      <alignment horizontal="right"/>
    </xf>
    <xf numFmtId="0" fontId="0" fillId="0" borderId="5" xfId="0" applyBorder="1" applyProtection="1"/>
    <xf numFmtId="0" fontId="0" fillId="0" borderId="38" xfId="0" applyBorder="1" applyAlignment="1" applyProtection="1">
      <alignment horizontal="right"/>
    </xf>
    <xf numFmtId="0" fontId="17" fillId="0" borderId="3" xfId="0" applyFont="1" applyBorder="1" applyAlignment="1" applyProtection="1"/>
    <xf numFmtId="0" fontId="21" fillId="0" borderId="3" xfId="0" applyFont="1" applyBorder="1" applyAlignment="1" applyProtection="1"/>
    <xf numFmtId="0" fontId="17" fillId="0" borderId="26" xfId="0" applyFont="1" applyBorder="1" applyAlignment="1" applyProtection="1">
      <alignment wrapText="1"/>
    </xf>
    <xf numFmtId="0" fontId="21" fillId="0" borderId="26" xfId="0" applyFont="1" applyBorder="1" applyAlignment="1" applyProtection="1">
      <alignment horizontal="left"/>
    </xf>
    <xf numFmtId="0" fontId="17" fillId="0" borderId="3" xfId="0" applyFont="1" applyBorder="1" applyAlignment="1" applyProtection="1">
      <alignment wrapText="1"/>
    </xf>
    <xf numFmtId="43" fontId="0" fillId="3" borderId="83" xfId="1" applyFont="1" applyFill="1" applyBorder="1" applyProtection="1"/>
    <xf numFmtId="43" fontId="4" fillId="0" borderId="8" xfId="1" applyBorder="1" applyProtection="1"/>
    <xf numFmtId="43" fontId="18" fillId="0" borderId="25" xfId="1" applyFont="1" applyBorder="1" applyAlignment="1" applyProtection="1">
      <alignment horizontal="center"/>
    </xf>
    <xf numFmtId="43" fontId="4" fillId="0" borderId="34" xfId="1" applyBorder="1" applyProtection="1"/>
    <xf numFmtId="43" fontId="0" fillId="0" borderId="83" xfId="1" applyFont="1" applyFill="1" applyBorder="1" applyProtection="1"/>
    <xf numFmtId="0" fontId="0" fillId="0" borderId="0" xfId="0" applyBorder="1" applyProtection="1"/>
    <xf numFmtId="49" fontId="0" fillId="0" borderId="0" xfId="0" applyNumberFormat="1" applyAlignment="1" applyProtection="1">
      <alignment horizontal="left"/>
    </xf>
    <xf numFmtId="0" fontId="0" fillId="0" borderId="0" xfId="0" applyNumberFormat="1" applyAlignment="1" applyProtection="1">
      <alignment horizontal="left"/>
    </xf>
    <xf numFmtId="0" fontId="17" fillId="0" borderId="0" xfId="0" applyFont="1" applyAlignment="1" applyProtection="1">
      <alignment horizontal="center"/>
    </xf>
    <xf numFmtId="43" fontId="0" fillId="0" borderId="0" xfId="1" applyFont="1" applyBorder="1" applyProtection="1"/>
    <xf numFmtId="14" fontId="23" fillId="0" borderId="0" xfId="0" applyNumberFormat="1" applyFont="1" applyBorder="1" applyAlignment="1" applyProtection="1">
      <alignment horizontal="center"/>
    </xf>
    <xf numFmtId="43" fontId="0" fillId="0" borderId="0" xfId="1" applyFont="1" applyProtection="1"/>
    <xf numFmtId="0" fontId="4" fillId="0" borderId="26" xfId="0" applyFont="1" applyBorder="1" applyProtection="1"/>
    <xf numFmtId="0" fontId="0" fillId="0" borderId="26" xfId="0" applyBorder="1" applyProtection="1"/>
    <xf numFmtId="0" fontId="12" fillId="0" borderId="0" xfId="0" applyFont="1" applyProtection="1"/>
    <xf numFmtId="0" fontId="0" fillId="0" borderId="46" xfId="0" applyBorder="1" applyProtection="1"/>
    <xf numFmtId="0" fontId="0" fillId="0" borderId="9" xfId="0" applyBorder="1" applyAlignment="1" applyProtection="1">
      <alignment horizontal="center"/>
    </xf>
    <xf numFmtId="0" fontId="0" fillId="0" borderId="15" xfId="0" applyBorder="1" applyProtection="1"/>
    <xf numFmtId="0" fontId="0" fillId="0" borderId="8" xfId="0" applyBorder="1" applyAlignment="1" applyProtection="1">
      <alignment horizontal="center"/>
    </xf>
    <xf numFmtId="43" fontId="0" fillId="3" borderId="47" xfId="1" applyFont="1" applyFill="1" applyBorder="1" applyAlignment="1" applyProtection="1">
      <alignment horizontal="center"/>
    </xf>
    <xf numFmtId="43" fontId="0" fillId="3" borderId="17" xfId="1" applyFont="1" applyFill="1" applyBorder="1" applyProtection="1"/>
    <xf numFmtId="0" fontId="0" fillId="0" borderId="0" xfId="0" applyBorder="1" applyAlignment="1" applyProtection="1">
      <alignment horizontal="center"/>
    </xf>
    <xf numFmtId="43" fontId="4" fillId="3" borderId="47" xfId="1" applyFill="1" applyBorder="1" applyAlignment="1" applyProtection="1">
      <alignment horizontal="center"/>
    </xf>
    <xf numFmtId="43" fontId="4" fillId="3" borderId="17" xfId="1" applyFill="1" applyBorder="1" applyProtection="1"/>
    <xf numFmtId="43" fontId="4" fillId="0" borderId="48" xfId="1" applyBorder="1" applyProtection="1"/>
    <xf numFmtId="43" fontId="4" fillId="0" borderId="11" xfId="1" applyBorder="1" applyProtection="1"/>
    <xf numFmtId="43" fontId="0" fillId="2" borderId="31" xfId="1" applyFont="1" applyFill="1" applyBorder="1" applyProtection="1">
      <protection locked="0"/>
    </xf>
    <xf numFmtId="0" fontId="0" fillId="2" borderId="8" xfId="0" applyFill="1" applyBorder="1" applyProtection="1"/>
    <xf numFmtId="0" fontId="0" fillId="2" borderId="23" xfId="0" applyFill="1" applyBorder="1" applyAlignment="1" applyProtection="1">
      <protection locked="0"/>
    </xf>
    <xf numFmtId="0" fontId="0" fillId="2" borderId="23" xfId="0" applyFill="1" applyBorder="1" applyAlignment="1" applyProtection="1"/>
    <xf numFmtId="43" fontId="18" fillId="0" borderId="33" xfId="1" applyFont="1" applyBorder="1" applyAlignment="1" applyProtection="1">
      <alignment horizontal="center"/>
    </xf>
    <xf numFmtId="43" fontId="4" fillId="0" borderId="36" xfId="1" applyBorder="1" applyProtection="1"/>
    <xf numFmtId="0" fontId="0" fillId="0" borderId="41" xfId="0" applyBorder="1" applyAlignment="1" applyProtection="1">
      <alignment horizontal="right"/>
    </xf>
    <xf numFmtId="0" fontId="0" fillId="0" borderId="52" xfId="0" applyBorder="1" applyAlignment="1" applyProtection="1">
      <alignment horizontal="right"/>
    </xf>
    <xf numFmtId="0" fontId="0" fillId="0" borderId="30" xfId="0" applyBorder="1" applyProtection="1"/>
    <xf numFmtId="14" fontId="0" fillId="0" borderId="11" xfId="0" applyNumberFormat="1" applyBorder="1" applyAlignment="1" applyProtection="1">
      <alignment horizontal="center"/>
    </xf>
    <xf numFmtId="0" fontId="18" fillId="0" borderId="11" xfId="0" applyFont="1" applyBorder="1" applyAlignment="1" applyProtection="1">
      <alignment horizontal="center"/>
    </xf>
    <xf numFmtId="14" fontId="0" fillId="0" borderId="7" xfId="0" applyNumberFormat="1" applyFill="1" applyBorder="1" applyAlignment="1" applyProtection="1">
      <alignment horizontal="center"/>
    </xf>
    <xf numFmtId="166" fontId="0" fillId="0" borderId="7" xfId="1" applyNumberFormat="1" applyFont="1" applyFill="1" applyBorder="1" applyAlignment="1" applyProtection="1">
      <alignment horizontal="center"/>
    </xf>
    <xf numFmtId="169" fontId="0" fillId="0" borderId="7" xfId="13" applyNumberFormat="1" applyFont="1" applyFill="1" applyBorder="1" applyProtection="1"/>
    <xf numFmtId="43" fontId="45" fillId="0" borderId="7" xfId="1" applyFont="1" applyFill="1" applyBorder="1" applyProtection="1"/>
    <xf numFmtId="166" fontId="0" fillId="0" borderId="17" xfId="0" applyNumberFormat="1" applyFill="1" applyBorder="1" applyAlignment="1" applyProtection="1">
      <alignment horizontal="center"/>
    </xf>
    <xf numFmtId="0" fontId="17" fillId="2" borderId="26" xfId="0" applyFont="1" applyFill="1" applyBorder="1" applyProtection="1">
      <protection locked="0"/>
    </xf>
    <xf numFmtId="43" fontId="21" fillId="2" borderId="7" xfId="1" applyFont="1" applyFill="1" applyBorder="1" applyAlignment="1" applyProtection="1">
      <alignment horizontal="center"/>
      <protection locked="0"/>
    </xf>
    <xf numFmtId="0" fontId="0" fillId="0" borderId="18" xfId="0" applyBorder="1" applyAlignment="1" applyProtection="1">
      <alignment horizontal="right"/>
    </xf>
    <xf numFmtId="0" fontId="0" fillId="0" borderId="3" xfId="0" applyBorder="1" applyAlignment="1" applyProtection="1">
      <alignment horizontal="right"/>
    </xf>
    <xf numFmtId="43" fontId="18" fillId="0" borderId="24" xfId="1" applyFont="1" applyBorder="1" applyAlignment="1" applyProtection="1">
      <alignment horizontal="center"/>
    </xf>
    <xf numFmtId="43" fontId="4" fillId="0" borderId="7" xfId="1" applyBorder="1" applyProtection="1"/>
    <xf numFmtId="43" fontId="4" fillId="0" borderId="25" xfId="1" applyBorder="1" applyProtection="1"/>
    <xf numFmtId="43" fontId="4" fillId="0" borderId="35" xfId="1" applyBorder="1" applyProtection="1"/>
    <xf numFmtId="43" fontId="0" fillId="0" borderId="25" xfId="1" applyFont="1" applyFill="1" applyBorder="1" applyProtection="1"/>
    <xf numFmtId="43" fontId="0" fillId="0" borderId="11" xfId="1" applyFont="1" applyFill="1" applyBorder="1" applyProtection="1"/>
    <xf numFmtId="43" fontId="0" fillId="0" borderId="8" xfId="1" applyFont="1" applyBorder="1" applyProtection="1"/>
    <xf numFmtId="43" fontId="4" fillId="2" borderId="29" xfId="19" applyNumberFormat="1" applyFill="1" applyBorder="1" applyProtection="1">
      <protection locked="0"/>
    </xf>
    <xf numFmtId="43" fontId="4" fillId="2" borderId="7" xfId="19" applyNumberFormat="1" applyFill="1" applyBorder="1" applyProtection="1">
      <protection locked="0"/>
    </xf>
    <xf numFmtId="43" fontId="4" fillId="2" borderId="29" xfId="1" applyFont="1" applyFill="1" applyBorder="1" applyProtection="1">
      <protection locked="0"/>
    </xf>
    <xf numFmtId="0" fontId="4" fillId="0" borderId="0" xfId="19" applyFill="1" applyProtection="1"/>
    <xf numFmtId="0" fontId="4" fillId="0" borderId="2" xfId="19" applyFill="1" applyBorder="1" applyAlignment="1" applyProtection="1">
      <alignment horizontal="center" vertical="center"/>
    </xf>
    <xf numFmtId="0" fontId="4" fillId="0" borderId="1" xfId="19" applyFill="1" applyBorder="1" applyAlignment="1" applyProtection="1">
      <alignment horizontal="center" vertical="center"/>
    </xf>
    <xf numFmtId="43" fontId="4" fillId="0" borderId="4" xfId="1" applyFill="1" applyBorder="1" applyProtection="1"/>
    <xf numFmtId="43" fontId="4" fillId="0" borderId="0" xfId="1" applyFill="1" applyProtection="1"/>
    <xf numFmtId="0" fontId="18" fillId="0" borderId="0" xfId="19" applyFont="1" applyFill="1" applyProtection="1"/>
    <xf numFmtId="0" fontId="4" fillId="0" borderId="15" xfId="19" applyFill="1" applyBorder="1" applyProtection="1"/>
    <xf numFmtId="0" fontId="4" fillId="0" borderId="29" xfId="19" applyFill="1" applyBorder="1" applyProtection="1"/>
    <xf numFmtId="43" fontId="4" fillId="0" borderId="29" xfId="19" applyNumberFormat="1" applyFill="1" applyBorder="1" applyProtection="1"/>
    <xf numFmtId="0" fontId="4" fillId="0" borderId="64" xfId="19" applyFill="1" applyBorder="1" applyProtection="1"/>
    <xf numFmtId="43" fontId="4" fillId="0" borderId="3" xfId="1" applyFill="1" applyBorder="1" applyProtection="1"/>
    <xf numFmtId="0" fontId="18" fillId="0" borderId="3" xfId="19" applyFont="1" applyFill="1" applyBorder="1" applyProtection="1"/>
    <xf numFmtId="43" fontId="4" fillId="3" borderId="3" xfId="1" applyFill="1" applyBorder="1" applyProtection="1"/>
    <xf numFmtId="43" fontId="4" fillId="0" borderId="64" xfId="19" applyNumberFormat="1" applyFill="1" applyBorder="1" applyProtection="1"/>
    <xf numFmtId="0" fontId="4" fillId="0" borderId="26" xfId="19" applyFill="1" applyBorder="1" applyProtection="1"/>
    <xf numFmtId="43" fontId="4" fillId="0" borderId="36" xfId="1" applyFill="1" applyBorder="1" applyProtection="1"/>
    <xf numFmtId="43" fontId="4" fillId="0" borderId="83" xfId="1" applyFill="1" applyBorder="1" applyProtection="1"/>
    <xf numFmtId="43" fontId="4" fillId="0" borderId="11" xfId="1" applyFill="1" applyBorder="1" applyProtection="1"/>
    <xf numFmtId="43" fontId="4" fillId="0" borderId="12" xfId="1" applyFill="1" applyBorder="1" applyProtection="1"/>
    <xf numFmtId="0" fontId="37" fillId="0" borderId="0" xfId="19" applyFont="1" applyAlignment="1" applyProtection="1">
      <alignment horizontal="center"/>
    </xf>
    <xf numFmtId="0" fontId="4" fillId="0" borderId="2" xfId="19" applyBorder="1" applyAlignment="1" applyProtection="1">
      <alignment horizontal="center" vertical="center"/>
    </xf>
    <xf numFmtId="0" fontId="4" fillId="0" borderId="1" xfId="19" applyBorder="1" applyAlignment="1" applyProtection="1">
      <alignment horizontal="center" vertical="center"/>
    </xf>
    <xf numFmtId="0" fontId="4" fillId="3" borderId="0" xfId="19" applyFill="1" applyProtection="1"/>
    <xf numFmtId="0" fontId="4" fillId="3" borderId="3" xfId="19" applyFill="1" applyBorder="1" applyProtection="1"/>
    <xf numFmtId="43" fontId="4" fillId="3" borderId="7" xfId="1" applyFill="1" applyBorder="1" applyProtection="1"/>
    <xf numFmtId="0" fontId="4" fillId="0" borderId="3" xfId="19" applyBorder="1" applyProtection="1"/>
    <xf numFmtId="43" fontId="4" fillId="0" borderId="3" xfId="1" applyBorder="1" applyProtection="1"/>
    <xf numFmtId="0" fontId="4" fillId="0" borderId="0" xfId="19" applyAlignment="1" applyProtection="1">
      <alignment horizontal="center"/>
    </xf>
    <xf numFmtId="0" fontId="4" fillId="0" borderId="9" xfId="19" applyBorder="1" applyProtection="1"/>
    <xf numFmtId="0" fontId="4" fillId="0" borderId="4" xfId="19" applyBorder="1" applyAlignment="1" applyProtection="1">
      <alignment horizontal="center"/>
    </xf>
    <xf numFmtId="0" fontId="4" fillId="0" borderId="4" xfId="19" applyBorder="1" applyProtection="1"/>
    <xf numFmtId="0" fontId="4" fillId="0" borderId="13" xfId="19" applyBorder="1" applyProtection="1"/>
    <xf numFmtId="0" fontId="4" fillId="0" borderId="0" xfId="19" applyProtection="1"/>
    <xf numFmtId="0" fontId="4" fillId="0" borderId="10" xfId="19" applyBorder="1" applyAlignment="1" applyProtection="1">
      <alignment horizontal="center"/>
    </xf>
    <xf numFmtId="0" fontId="4" fillId="0" borderId="10" xfId="19" applyBorder="1" applyProtection="1"/>
    <xf numFmtId="0" fontId="4" fillId="0" borderId="16" xfId="19" applyBorder="1" applyAlignment="1" applyProtection="1">
      <alignment horizontal="center"/>
    </xf>
    <xf numFmtId="14" fontId="4" fillId="0" borderId="10" xfId="19" applyNumberFormat="1" applyBorder="1" applyAlignment="1" applyProtection="1">
      <alignment horizontal="center"/>
    </xf>
    <xf numFmtId="0" fontId="4" fillId="0" borderId="15" xfId="19" applyBorder="1" applyAlignment="1" applyProtection="1">
      <alignment horizontal="center"/>
    </xf>
    <xf numFmtId="14" fontId="4" fillId="0" borderId="16" xfId="19" applyNumberFormat="1" applyBorder="1" applyAlignment="1" applyProtection="1">
      <alignment horizontal="center"/>
    </xf>
    <xf numFmtId="0" fontId="4" fillId="0" borderId="8" xfId="19" applyBorder="1" applyProtection="1"/>
    <xf numFmtId="0" fontId="4" fillId="0" borderId="11" xfId="19" applyBorder="1" applyProtection="1"/>
    <xf numFmtId="0" fontId="4" fillId="0" borderId="11" xfId="19" applyBorder="1" applyAlignment="1" applyProtection="1">
      <alignment horizontal="center"/>
    </xf>
    <xf numFmtId="0" fontId="4" fillId="0" borderId="12" xfId="19" applyBorder="1" applyProtection="1"/>
    <xf numFmtId="0" fontId="4" fillId="0" borderId="14" xfId="19" applyBorder="1" applyProtection="1"/>
    <xf numFmtId="0" fontId="4" fillId="0" borderId="18" xfId="19" applyBorder="1" applyProtection="1"/>
    <xf numFmtId="0" fontId="4" fillId="0" borderId="19" xfId="19" applyBorder="1" applyProtection="1"/>
    <xf numFmtId="43" fontId="4" fillId="3" borderId="50" xfId="1" applyFill="1" applyBorder="1" applyProtection="1"/>
    <xf numFmtId="43" fontId="4" fillId="0" borderId="14" xfId="1" applyBorder="1" applyProtection="1"/>
    <xf numFmtId="0" fontId="4" fillId="0" borderId="23" xfId="19" applyBorder="1" applyProtection="1"/>
    <xf numFmtId="0" fontId="4" fillId="0" borderId="31" xfId="19" applyBorder="1" applyProtection="1"/>
    <xf numFmtId="0" fontId="11" fillId="0" borderId="0" xfId="19" applyFont="1" applyProtection="1"/>
    <xf numFmtId="0" fontId="4" fillId="0" borderId="20" xfId="19" applyBorder="1" applyProtection="1"/>
    <xf numFmtId="0" fontId="17" fillId="2" borderId="26" xfId="19" applyFont="1" applyFill="1" applyBorder="1" applyAlignment="1" applyProtection="1">
      <alignment horizontal="center"/>
      <protection locked="0"/>
    </xf>
    <xf numFmtId="0" fontId="23" fillId="0" borderId="0" xfId="19" applyFont="1" applyFill="1" applyProtection="1"/>
    <xf numFmtId="0" fontId="12" fillId="0" borderId="0" xfId="19" applyFont="1" applyFill="1" applyProtection="1"/>
    <xf numFmtId="0" fontId="4" fillId="0" borderId="8" xfId="19" applyFill="1" applyBorder="1" applyProtection="1"/>
    <xf numFmtId="0" fontId="4" fillId="0" borderId="18" xfId="19" applyFill="1" applyBorder="1" applyProtection="1"/>
    <xf numFmtId="43" fontId="18" fillId="0" borderId="33" xfId="1" applyFont="1" applyFill="1" applyBorder="1" applyAlignment="1" applyProtection="1">
      <alignment horizontal="center"/>
    </xf>
    <xf numFmtId="0" fontId="4" fillId="0" borderId="3" xfId="19" applyFill="1" applyBorder="1" applyAlignment="1" applyProtection="1">
      <alignment horizontal="left"/>
    </xf>
    <xf numFmtId="43" fontId="4" fillId="3" borderId="7" xfId="1" applyFont="1" applyFill="1" applyBorder="1" applyProtection="1"/>
    <xf numFmtId="43" fontId="18" fillId="0" borderId="7" xfId="1" applyFont="1" applyFill="1" applyBorder="1" applyAlignment="1" applyProtection="1">
      <alignment horizontal="center"/>
    </xf>
    <xf numFmtId="43" fontId="0" fillId="0" borderId="64" xfId="1" applyFont="1" applyFill="1" applyBorder="1" applyProtection="1"/>
    <xf numFmtId="43" fontId="0" fillId="0" borderId="73" xfId="1" applyFont="1" applyFill="1" applyBorder="1" applyProtection="1"/>
    <xf numFmtId="43" fontId="0" fillId="0" borderId="6" xfId="1" applyFont="1" applyFill="1" applyBorder="1" applyProtection="1"/>
    <xf numFmtId="0" fontId="4" fillId="0" borderId="41" xfId="19" applyFill="1" applyBorder="1" applyProtection="1"/>
    <xf numFmtId="43" fontId="4" fillId="3" borderId="27" xfId="1" applyFont="1" applyFill="1" applyBorder="1" applyProtection="1"/>
    <xf numFmtId="0" fontId="4" fillId="0" borderId="39" xfId="19" applyFill="1" applyBorder="1" applyProtection="1"/>
    <xf numFmtId="43" fontId="0" fillId="0" borderId="39" xfId="1" applyFont="1" applyFill="1" applyBorder="1" applyProtection="1"/>
    <xf numFmtId="0" fontId="4" fillId="0" borderId="40" xfId="19" applyFill="1" applyBorder="1" applyProtection="1"/>
    <xf numFmtId="43" fontId="0" fillId="0" borderId="74" xfId="1" applyFont="1" applyFill="1" applyBorder="1" applyProtection="1"/>
    <xf numFmtId="43" fontId="0" fillId="3" borderId="75" xfId="1" applyFont="1" applyFill="1" applyBorder="1" applyProtection="1"/>
    <xf numFmtId="43" fontId="0" fillId="0" borderId="60" xfId="1" applyFont="1" applyFill="1" applyBorder="1" applyProtection="1"/>
    <xf numFmtId="43" fontId="0" fillId="0" borderId="78" xfId="1" applyFont="1" applyFill="1" applyBorder="1" applyProtection="1"/>
    <xf numFmtId="43" fontId="0" fillId="0" borderId="0" xfId="1" applyFont="1" applyFill="1" applyBorder="1" applyProtection="1"/>
    <xf numFmtId="43" fontId="0" fillId="0" borderId="8" xfId="1" applyFont="1" applyFill="1" applyBorder="1" applyProtection="1"/>
    <xf numFmtId="0" fontId="4" fillId="0" borderId="0" xfId="19" applyFont="1" applyFill="1" applyProtection="1"/>
    <xf numFmtId="0" fontId="4" fillId="0" borderId="60" xfId="19" applyFill="1" applyBorder="1" applyProtection="1"/>
    <xf numFmtId="0" fontId="4" fillId="0" borderId="63" xfId="19" applyFill="1" applyBorder="1" applyProtection="1"/>
    <xf numFmtId="0" fontId="4" fillId="0" borderId="0" xfId="19" applyFill="1" applyBorder="1" applyProtection="1"/>
    <xf numFmtId="43" fontId="0" fillId="3" borderId="76" xfId="1" applyFont="1" applyFill="1" applyBorder="1" applyProtection="1"/>
    <xf numFmtId="43" fontId="0" fillId="0" borderId="77" xfId="1" applyFont="1" applyFill="1" applyBorder="1" applyProtection="1"/>
    <xf numFmtId="43" fontId="4" fillId="0" borderId="27" xfId="1" applyFont="1" applyFill="1" applyBorder="1" applyProtection="1"/>
    <xf numFmtId="0" fontId="4" fillId="0" borderId="3" xfId="19" applyFill="1" applyBorder="1" applyAlignment="1" applyProtection="1">
      <alignment vertical="top"/>
    </xf>
    <xf numFmtId="0" fontId="4" fillId="2" borderId="7" xfId="19" applyFont="1" applyFill="1" applyBorder="1" applyAlignment="1" applyProtection="1">
      <protection locked="0"/>
    </xf>
    <xf numFmtId="43" fontId="4" fillId="2" borderId="7" xfId="19" applyNumberFormat="1" applyFont="1" applyFill="1" applyBorder="1" applyAlignment="1" applyProtection="1">
      <protection locked="0"/>
    </xf>
    <xf numFmtId="0" fontId="4" fillId="2" borderId="3" xfId="19" applyFill="1" applyBorder="1" applyAlignment="1" applyProtection="1">
      <alignment horizontal="left"/>
      <protection locked="0"/>
    </xf>
    <xf numFmtId="49" fontId="4" fillId="2" borderId="3" xfId="19" applyNumberFormat="1" applyFill="1" applyBorder="1" applyAlignment="1" applyProtection="1">
      <protection locked="0"/>
    </xf>
    <xf numFmtId="43" fontId="4" fillId="2" borderId="3" xfId="19" applyNumberFormat="1" applyFont="1" applyFill="1" applyBorder="1" applyAlignment="1" applyProtection="1">
      <protection locked="0"/>
    </xf>
    <xf numFmtId="0" fontId="18" fillId="0" borderId="33" xfId="19" applyFont="1" applyFill="1" applyBorder="1" applyAlignment="1" applyProtection="1">
      <alignment horizontal="center"/>
    </xf>
    <xf numFmtId="43" fontId="4" fillId="0" borderId="18" xfId="1" applyFill="1" applyBorder="1" applyProtection="1"/>
    <xf numFmtId="0" fontId="18" fillId="0" borderId="7" xfId="19" applyFont="1" applyFill="1" applyBorder="1" applyAlignment="1" applyProtection="1">
      <alignment horizontal="center"/>
    </xf>
    <xf numFmtId="43" fontId="4" fillId="0" borderId="5" xfId="19" applyNumberFormat="1" applyFont="1" applyFill="1" applyBorder="1" applyAlignment="1" applyProtection="1">
      <alignment horizontal="center"/>
    </xf>
    <xf numFmtId="0" fontId="18" fillId="0" borderId="3" xfId="19" applyFont="1" applyFill="1" applyBorder="1" applyAlignment="1" applyProtection="1">
      <alignment horizontal="center"/>
    </xf>
    <xf numFmtId="0" fontId="18" fillId="0" borderId="32" xfId="19" applyFont="1" applyFill="1" applyBorder="1" applyAlignment="1" applyProtection="1">
      <alignment horizontal="center"/>
    </xf>
    <xf numFmtId="43" fontId="4" fillId="0" borderId="0" xfId="19" applyNumberFormat="1" applyFill="1" applyProtection="1"/>
    <xf numFmtId="0" fontId="11" fillId="0" borderId="0" xfId="19" applyFont="1" applyFill="1" applyProtection="1"/>
    <xf numFmtId="49" fontId="4" fillId="0" borderId="18" xfId="19" applyNumberFormat="1" applyFill="1" applyBorder="1" applyAlignment="1" applyProtection="1">
      <alignment horizontal="left"/>
    </xf>
    <xf numFmtId="14" fontId="4" fillId="0" borderId="18" xfId="19" applyNumberFormat="1" applyFill="1" applyBorder="1" applyProtection="1"/>
    <xf numFmtId="43" fontId="4" fillId="3" borderId="26" xfId="1" applyFill="1" applyBorder="1" applyProtection="1"/>
    <xf numFmtId="43" fontId="4" fillId="0" borderId="28" xfId="1" applyFill="1" applyBorder="1" applyProtection="1"/>
    <xf numFmtId="0" fontId="4" fillId="0" borderId="18" xfId="19" applyFill="1" applyBorder="1" applyAlignment="1" applyProtection="1">
      <alignment horizontal="right"/>
    </xf>
    <xf numFmtId="0" fontId="4" fillId="0" borderId="3" xfId="19" applyFill="1" applyBorder="1" applyAlignment="1" applyProtection="1">
      <alignment horizontal="right"/>
    </xf>
    <xf numFmtId="43" fontId="4" fillId="0" borderId="64" xfId="1" applyFill="1" applyBorder="1" applyProtection="1"/>
    <xf numFmtId="43" fontId="4" fillId="0" borderId="81" xfId="1" applyFill="1" applyBorder="1" applyProtection="1"/>
    <xf numFmtId="43" fontId="4" fillId="0" borderId="84" xfId="1" applyFill="1" applyBorder="1" applyProtection="1"/>
    <xf numFmtId="0" fontId="4" fillId="0" borderId="20" xfId="19" applyFill="1" applyBorder="1" applyAlignment="1" applyProtection="1">
      <alignment horizontal="right"/>
    </xf>
    <xf numFmtId="0" fontId="16" fillId="0" borderId="0" xfId="19" applyFont="1" applyFill="1" applyProtection="1"/>
    <xf numFmtId="0" fontId="4" fillId="0" borderId="0" xfId="19" applyFill="1" applyAlignment="1" applyProtection="1">
      <alignment horizontal="right"/>
    </xf>
    <xf numFmtId="0" fontId="17" fillId="0" borderId="0" xfId="19" applyFont="1" applyFill="1" applyProtection="1"/>
    <xf numFmtId="0" fontId="17" fillId="0" borderId="3" xfId="19" applyFont="1" applyFill="1" applyBorder="1" applyAlignment="1" applyProtection="1">
      <alignment wrapText="1"/>
    </xf>
    <xf numFmtId="43" fontId="4" fillId="0" borderId="26" xfId="19" applyNumberFormat="1" applyBorder="1" applyProtection="1"/>
    <xf numFmtId="43" fontId="0" fillId="3" borderId="26" xfId="1" applyFont="1" applyFill="1" applyBorder="1" applyProtection="1"/>
    <xf numFmtId="0" fontId="4" fillId="3" borderId="26" xfId="19" applyFill="1" applyBorder="1" applyProtection="1"/>
    <xf numFmtId="0" fontId="18" fillId="0" borderId="26" xfId="19" applyFont="1" applyFill="1" applyBorder="1" applyProtection="1"/>
    <xf numFmtId="43" fontId="4" fillId="0" borderId="20" xfId="1" applyFill="1" applyBorder="1" applyAlignment="1" applyProtection="1">
      <alignment horizontal="right"/>
    </xf>
    <xf numFmtId="43" fontId="4" fillId="0" borderId="20" xfId="1" applyFill="1" applyBorder="1" applyAlignment="1" applyProtection="1">
      <alignment horizontal="right"/>
    </xf>
    <xf numFmtId="43" fontId="4" fillId="0" borderId="19" xfId="19" applyNumberFormat="1" applyFill="1" applyBorder="1" applyProtection="1"/>
    <xf numFmtId="43" fontId="4" fillId="0" borderId="20" xfId="19" applyNumberFormat="1" applyFill="1" applyBorder="1" applyProtection="1"/>
    <xf numFmtId="0" fontId="4" fillId="0" borderId="23" xfId="19" applyFill="1" applyBorder="1" applyProtection="1"/>
    <xf numFmtId="0" fontId="4" fillId="0" borderId="12" xfId="19" applyFill="1" applyBorder="1" applyProtection="1"/>
    <xf numFmtId="43" fontId="0" fillId="0" borderId="79" xfId="1" applyFont="1" applyFill="1" applyBorder="1" applyProtection="1"/>
    <xf numFmtId="43" fontId="0" fillId="0" borderId="20" xfId="1" applyFont="1" applyFill="1" applyBorder="1" applyProtection="1"/>
    <xf numFmtId="43" fontId="0" fillId="0" borderId="52" xfId="1" applyFont="1" applyFill="1" applyBorder="1" applyProtection="1"/>
    <xf numFmtId="0" fontId="4" fillId="0" borderId="9" xfId="19" applyFill="1" applyBorder="1" applyProtection="1"/>
    <xf numFmtId="0" fontId="4" fillId="0" borderId="4" xfId="19" applyFill="1" applyBorder="1" applyAlignment="1" applyProtection="1">
      <alignment horizontal="center"/>
    </xf>
    <xf numFmtId="0" fontId="4" fillId="0" borderId="51" xfId="19" applyFill="1" applyBorder="1" applyProtection="1"/>
    <xf numFmtId="0" fontId="4" fillId="0" borderId="65" xfId="19" applyFill="1" applyBorder="1" applyProtection="1"/>
    <xf numFmtId="0" fontId="4" fillId="0" borderId="10" xfId="19" applyFill="1" applyBorder="1" applyAlignment="1" applyProtection="1">
      <alignment horizontal="center"/>
    </xf>
    <xf numFmtId="0" fontId="4" fillId="0" borderId="15" xfId="19" applyFill="1" applyBorder="1" applyAlignment="1" applyProtection="1">
      <alignment horizontal="center"/>
    </xf>
    <xf numFmtId="0" fontId="7" fillId="0" borderId="0" xfId="19" applyFont="1" applyFill="1" applyBorder="1" applyAlignment="1" applyProtection="1">
      <alignment horizontal="center" vertical="center" wrapText="1"/>
    </xf>
    <xf numFmtId="0" fontId="4" fillId="0" borderId="66" xfId="19" applyFill="1" applyBorder="1" applyAlignment="1" applyProtection="1">
      <alignment horizontal="center"/>
    </xf>
    <xf numFmtId="0" fontId="4" fillId="0" borderId="0" xfId="19" applyFill="1" applyBorder="1" applyAlignment="1" applyProtection="1">
      <alignment horizontal="center" vertical="center" wrapText="1"/>
    </xf>
    <xf numFmtId="0" fontId="4" fillId="0" borderId="11" xfId="19" applyFill="1" applyBorder="1" applyProtection="1"/>
    <xf numFmtId="14" fontId="4" fillId="0" borderId="11" xfId="19" applyNumberFormat="1" applyFill="1" applyBorder="1" applyAlignment="1" applyProtection="1">
      <alignment horizontal="center"/>
    </xf>
    <xf numFmtId="0" fontId="4" fillId="0" borderId="11" xfId="19" applyFill="1" applyBorder="1" applyAlignment="1" applyProtection="1">
      <alignment horizontal="center"/>
    </xf>
    <xf numFmtId="0" fontId="18" fillId="0" borderId="11" xfId="19" applyFont="1" applyFill="1" applyBorder="1" applyAlignment="1" applyProtection="1">
      <alignment horizontal="center"/>
    </xf>
    <xf numFmtId="0" fontId="18" fillId="0" borderId="12" xfId="19" applyFont="1" applyFill="1" applyBorder="1" applyAlignment="1" applyProtection="1">
      <alignment horizontal="center"/>
    </xf>
    <xf numFmtId="0" fontId="4" fillId="0" borderId="67" xfId="19" applyFill="1" applyBorder="1" applyProtection="1"/>
    <xf numFmtId="0" fontId="4" fillId="0" borderId="3" xfId="0" applyFont="1" applyFill="1" applyBorder="1" applyAlignment="1" applyProtection="1">
      <alignment horizontal="center"/>
    </xf>
    <xf numFmtId="0" fontId="0" fillId="0" borderId="3" xfId="0" applyFill="1" applyBorder="1" applyAlignment="1" applyProtection="1">
      <alignment horizontal="center"/>
    </xf>
    <xf numFmtId="0" fontId="0" fillId="0" borderId="20" xfId="0" applyFill="1" applyBorder="1" applyAlignment="1" applyProtection="1">
      <alignment horizontal="center"/>
    </xf>
    <xf numFmtId="0" fontId="18" fillId="0" borderId="11" xfId="19" applyFont="1" applyBorder="1" applyAlignment="1" applyProtection="1">
      <alignment horizontal="center"/>
    </xf>
    <xf numFmtId="49" fontId="4" fillId="0" borderId="23" xfId="19" applyNumberFormat="1" applyBorder="1" applyAlignment="1" applyProtection="1">
      <alignment horizontal="center"/>
    </xf>
    <xf numFmtId="0" fontId="4" fillId="0" borderId="31" xfId="19" applyFill="1" applyBorder="1" applyAlignment="1" applyProtection="1">
      <alignment horizontal="right"/>
    </xf>
    <xf numFmtId="0" fontId="4" fillId="0" borderId="14" xfId="19" applyFill="1" applyBorder="1" applyProtection="1"/>
    <xf numFmtId="49" fontId="39" fillId="0" borderId="0" xfId="19" applyNumberFormat="1" applyFont="1" applyBorder="1" applyAlignment="1" applyProtection="1">
      <alignment horizontal="left"/>
    </xf>
    <xf numFmtId="0" fontId="39" fillId="0" borderId="0" xfId="19" applyFont="1" applyBorder="1" applyProtection="1"/>
    <xf numFmtId="0" fontId="39" fillId="0" borderId="0" xfId="19" applyFont="1" applyBorder="1" applyAlignment="1" applyProtection="1">
      <alignment horizontal="right"/>
    </xf>
    <xf numFmtId="0" fontId="4" fillId="0" borderId="0" xfId="19" applyBorder="1" applyProtection="1"/>
    <xf numFmtId="0" fontId="17" fillId="0" borderId="0" xfId="19" applyFont="1" applyBorder="1" applyAlignment="1" applyProtection="1">
      <alignment horizontal="center"/>
    </xf>
    <xf numFmtId="0" fontId="39" fillId="0" borderId="0" xfId="19" applyFont="1" applyBorder="1" applyAlignment="1" applyProtection="1">
      <alignment horizontal="left"/>
    </xf>
    <xf numFmtId="0" fontId="18" fillId="0" borderId="0" xfId="19" applyFont="1" applyBorder="1" applyProtection="1"/>
    <xf numFmtId="0" fontId="4" fillId="0" borderId="51" xfId="19" applyBorder="1" applyAlignment="1" applyProtection="1">
      <alignment horizontal="center"/>
    </xf>
    <xf numFmtId="0" fontId="4" fillId="0" borderId="65" xfId="19" applyBorder="1" applyProtection="1"/>
    <xf numFmtId="0" fontId="4" fillId="0" borderId="0" xfId="19" applyBorder="1" applyAlignment="1" applyProtection="1">
      <alignment horizontal="center"/>
    </xf>
    <xf numFmtId="0" fontId="7" fillId="0" borderId="0" xfId="19" applyFont="1" applyFill="1" applyBorder="1" applyAlignment="1" applyProtection="1">
      <alignment horizontal="center" vertical="center" wrapText="1"/>
    </xf>
    <xf numFmtId="0" fontId="4" fillId="0" borderId="0" xfId="19" applyBorder="1" applyAlignment="1" applyProtection="1">
      <alignment horizontal="center"/>
    </xf>
    <xf numFmtId="0" fontId="4" fillId="0" borderId="21" xfId="19" applyBorder="1" applyAlignment="1" applyProtection="1">
      <alignment horizontal="center"/>
    </xf>
    <xf numFmtId="14" fontId="4" fillId="0" borderId="15" xfId="19" applyNumberFormat="1" applyBorder="1" applyAlignment="1" applyProtection="1">
      <alignment horizontal="center"/>
    </xf>
    <xf numFmtId="0" fontId="4" fillId="0" borderId="52" xfId="19" applyBorder="1" applyProtection="1"/>
    <xf numFmtId="0" fontId="4" fillId="0" borderId="12" xfId="19" applyBorder="1" applyAlignment="1" applyProtection="1">
      <alignment horizontal="center"/>
    </xf>
    <xf numFmtId="0" fontId="18" fillId="0" borderId="14" xfId="19" applyFont="1" applyBorder="1" applyAlignment="1" applyProtection="1">
      <alignment horizontal="center"/>
    </xf>
    <xf numFmtId="0" fontId="4" fillId="0" borderId="15" xfId="19" applyFont="1" applyBorder="1" applyAlignment="1" applyProtection="1">
      <alignment horizontal="center"/>
    </xf>
    <xf numFmtId="43" fontId="4" fillId="3" borderId="33" xfId="1" applyFill="1" applyBorder="1" applyAlignment="1" applyProtection="1"/>
    <xf numFmtId="49" fontId="4" fillId="3" borderId="18" xfId="19" applyNumberFormat="1" applyFill="1" applyBorder="1" applyAlignment="1" applyProtection="1">
      <alignment horizontal="left"/>
    </xf>
    <xf numFmtId="0" fontId="4" fillId="3" borderId="18" xfId="19" applyFill="1" applyBorder="1" applyProtection="1"/>
    <xf numFmtId="0" fontId="4" fillId="3" borderId="19" xfId="19" applyFill="1" applyBorder="1" applyProtection="1"/>
    <xf numFmtId="43" fontId="4" fillId="3" borderId="47" xfId="1" applyFill="1" applyBorder="1" applyAlignment="1" applyProtection="1"/>
    <xf numFmtId="0" fontId="17" fillId="2" borderId="26" xfId="19" applyFont="1" applyFill="1" applyBorder="1" applyProtection="1">
      <protection locked="0"/>
    </xf>
    <xf numFmtId="43" fontId="4" fillId="0" borderId="25" xfId="1" applyFill="1" applyBorder="1" applyProtection="1"/>
    <xf numFmtId="43" fontId="4" fillId="0" borderId="20" xfId="1" applyFont="1" applyFill="1" applyBorder="1" applyProtection="1"/>
    <xf numFmtId="43" fontId="4" fillId="0" borderId="29" xfId="1" applyFont="1" applyFill="1" applyBorder="1" applyProtection="1"/>
    <xf numFmtId="0" fontId="4" fillId="0" borderId="2" xfId="19" applyFill="1" applyBorder="1" applyAlignment="1" applyProtection="1">
      <alignment horizontal="center" vertical="center"/>
      <protection locked="0"/>
    </xf>
    <xf numFmtId="0" fontId="4" fillId="0" borderId="1" xfId="19" applyFill="1" applyBorder="1" applyAlignment="1" applyProtection="1">
      <alignment horizontal="center" vertical="center"/>
      <protection locked="0"/>
    </xf>
    <xf numFmtId="43" fontId="4" fillId="0" borderId="4" xfId="1" applyFill="1" applyBorder="1" applyProtection="1">
      <protection locked="0"/>
    </xf>
    <xf numFmtId="43" fontId="4" fillId="0" borderId="0" xfId="1" applyFill="1" applyProtection="1">
      <protection locked="0"/>
    </xf>
    <xf numFmtId="0" fontId="18" fillId="0" borderId="3" xfId="19" applyFont="1" applyFill="1" applyBorder="1" applyProtection="1">
      <protection locked="0"/>
    </xf>
    <xf numFmtId="0" fontId="4" fillId="0" borderId="3" xfId="19" applyFill="1" applyBorder="1" applyProtection="1">
      <protection locked="0"/>
    </xf>
    <xf numFmtId="43" fontId="4" fillId="0" borderId="7" xfId="1" applyFill="1" applyBorder="1" applyProtection="1">
      <protection locked="0"/>
    </xf>
    <xf numFmtId="43" fontId="4" fillId="0" borderId="3" xfId="1" applyFill="1" applyBorder="1" applyProtection="1">
      <protection locked="0"/>
    </xf>
    <xf numFmtId="43" fontId="14" fillId="0" borderId="36" xfId="1" applyFont="1" applyFill="1" applyBorder="1" applyProtection="1"/>
    <xf numFmtId="43" fontId="14" fillId="0" borderId="83" xfId="1" applyFont="1" applyFill="1" applyBorder="1" applyProtection="1"/>
    <xf numFmtId="43" fontId="14" fillId="0" borderId="11" xfId="1" applyFont="1" applyFill="1" applyBorder="1" applyProtection="1"/>
    <xf numFmtId="43" fontId="14" fillId="0" borderId="12" xfId="1" applyFont="1" applyFill="1" applyBorder="1" applyProtection="1"/>
    <xf numFmtId="0" fontId="4" fillId="0" borderId="0" xfId="19" applyFill="1" applyBorder="1" applyAlignment="1" applyProtection="1">
      <alignment horizontal="center"/>
    </xf>
    <xf numFmtId="0" fontId="4" fillId="0" borderId="0" xfId="19" applyFill="1" applyAlignment="1" applyProtection="1">
      <alignment horizontal="center"/>
    </xf>
    <xf numFmtId="43" fontId="18" fillId="0" borderId="3" xfId="1" applyFont="1" applyFill="1" applyBorder="1" applyAlignment="1" applyProtection="1">
      <alignment horizontal="center"/>
    </xf>
    <xf numFmtId="0" fontId="6" fillId="0" borderId="0" xfId="19" applyFont="1" applyFill="1" applyAlignment="1" applyProtection="1">
      <alignment horizontal="center"/>
    </xf>
    <xf numFmtId="0" fontId="4" fillId="0" borderId="9" xfId="19" applyFill="1" applyBorder="1" applyAlignment="1" applyProtection="1">
      <alignment horizontal="center"/>
    </xf>
    <xf numFmtId="49" fontId="4" fillId="0" borderId="11" xfId="19" applyNumberFormat="1" applyFill="1" applyBorder="1" applyAlignment="1" applyProtection="1">
      <alignment horizontal="center"/>
    </xf>
    <xf numFmtId="49" fontId="4" fillId="0" borderId="8" xfId="19" applyNumberFormat="1" applyFill="1" applyBorder="1" applyAlignment="1" applyProtection="1">
      <alignment horizontal="center"/>
    </xf>
    <xf numFmtId="0" fontId="17" fillId="0" borderId="18" xfId="19" applyFont="1" applyFill="1" applyBorder="1" applyAlignment="1" applyProtection="1">
      <alignment horizontal="center"/>
    </xf>
    <xf numFmtId="0" fontId="17" fillId="0" borderId="0" xfId="19" applyFont="1" applyFill="1" applyAlignment="1" applyProtection="1">
      <alignment horizontal="center"/>
    </xf>
    <xf numFmtId="0" fontId="17" fillId="0" borderId="26" xfId="19" applyFont="1" applyFill="1" applyBorder="1" applyAlignment="1" applyProtection="1">
      <alignment horizontal="center"/>
    </xf>
    <xf numFmtId="43" fontId="4" fillId="0" borderId="10" xfId="1" applyFill="1" applyBorder="1" applyProtection="1"/>
    <xf numFmtId="43" fontId="4" fillId="0" borderId="33" xfId="1" applyFill="1" applyBorder="1" applyProtection="1"/>
    <xf numFmtId="43" fontId="4" fillId="0" borderId="3" xfId="1" applyFont="1" applyFill="1" applyBorder="1" applyAlignment="1" applyProtection="1"/>
    <xf numFmtId="43" fontId="4" fillId="0" borderId="35" xfId="1" applyFill="1" applyBorder="1" applyProtection="1"/>
    <xf numFmtId="0" fontId="17" fillId="0" borderId="3" xfId="19" applyFont="1" applyFill="1" applyBorder="1" applyAlignment="1" applyProtection="1">
      <alignment horizontal="center"/>
    </xf>
    <xf numFmtId="0" fontId="17" fillId="0" borderId="3" xfId="19" applyFont="1" applyFill="1" applyBorder="1" applyProtection="1"/>
    <xf numFmtId="0" fontId="17" fillId="0" borderId="38" xfId="19" applyFont="1" applyFill="1" applyBorder="1" applyAlignment="1" applyProtection="1">
      <alignment horizontal="center"/>
    </xf>
    <xf numFmtId="43" fontId="4" fillId="0" borderId="27" xfId="1" applyFill="1" applyBorder="1" applyProtection="1"/>
    <xf numFmtId="43" fontId="4" fillId="0" borderId="34" xfId="1" applyFill="1" applyBorder="1" applyProtection="1"/>
    <xf numFmtId="0" fontId="14" fillId="0" borderId="18" xfId="19" applyFont="1" applyFill="1" applyBorder="1" applyAlignment="1" applyProtection="1"/>
    <xf numFmtId="0" fontId="4" fillId="0" borderId="18" xfId="19" applyFont="1" applyFill="1" applyBorder="1" applyAlignment="1" applyProtection="1"/>
    <xf numFmtId="43" fontId="4" fillId="0" borderId="19" xfId="1" applyFont="1" applyFill="1" applyBorder="1" applyAlignment="1" applyProtection="1">
      <alignment horizontal="right"/>
    </xf>
    <xf numFmtId="43" fontId="18" fillId="0" borderId="18" xfId="1" applyFont="1" applyFill="1" applyBorder="1" applyAlignment="1" applyProtection="1">
      <alignment horizontal="center"/>
    </xf>
    <xf numFmtId="0" fontId="14" fillId="0" borderId="26" xfId="19" applyFont="1" applyFill="1" applyBorder="1" applyAlignment="1" applyProtection="1"/>
    <xf numFmtId="0" fontId="4" fillId="0" borderId="26" xfId="19" applyFont="1" applyFill="1" applyBorder="1" applyAlignment="1" applyProtection="1"/>
    <xf numFmtId="43" fontId="4" fillId="0" borderId="41" xfId="1" applyFont="1" applyFill="1" applyBorder="1" applyAlignment="1" applyProtection="1">
      <alignment horizontal="right"/>
    </xf>
    <xf numFmtId="43" fontId="4" fillId="0" borderId="41" xfId="1" applyFont="1" applyFill="1" applyBorder="1" applyAlignment="1" applyProtection="1"/>
    <xf numFmtId="43" fontId="4" fillId="0" borderId="26" xfId="1" applyFont="1" applyFill="1" applyBorder="1" applyAlignment="1" applyProtection="1"/>
    <xf numFmtId="43" fontId="4" fillId="0" borderId="53" xfId="1" applyFont="1" applyFill="1" applyBorder="1" applyAlignment="1" applyProtection="1"/>
    <xf numFmtId="43" fontId="4" fillId="0" borderId="15" xfId="1" applyFont="1" applyFill="1" applyBorder="1" applyAlignment="1" applyProtection="1"/>
    <xf numFmtId="0" fontId="4" fillId="0" borderId="3" xfId="19" applyFont="1" applyFill="1" applyBorder="1" applyAlignment="1" applyProtection="1"/>
    <xf numFmtId="43" fontId="4" fillId="0" borderId="74" xfId="1" applyFont="1" applyFill="1" applyBorder="1" applyAlignment="1" applyProtection="1"/>
    <xf numFmtId="43" fontId="4" fillId="0" borderId="20" xfId="1" applyFont="1" applyFill="1" applyBorder="1" applyAlignment="1" applyProtection="1"/>
    <xf numFmtId="43" fontId="4" fillId="0" borderId="5" xfId="1" applyFont="1" applyFill="1" applyBorder="1" applyAlignment="1" applyProtection="1"/>
    <xf numFmtId="43" fontId="4" fillId="0" borderId="35" xfId="1" applyFont="1" applyFill="1" applyBorder="1" applyAlignment="1" applyProtection="1"/>
    <xf numFmtId="0" fontId="4" fillId="0" borderId="1" xfId="19" applyFill="1" applyBorder="1" applyProtection="1"/>
    <xf numFmtId="0" fontId="4" fillId="2" borderId="3" xfId="19" applyFont="1" applyFill="1" applyBorder="1" applyAlignment="1" applyProtection="1">
      <protection locked="0"/>
    </xf>
    <xf numFmtId="43" fontId="18" fillId="0" borderId="33" xfId="19" applyNumberFormat="1" applyFont="1" applyFill="1" applyBorder="1" applyAlignment="1" applyProtection="1">
      <alignment horizontal="center"/>
    </xf>
    <xf numFmtId="43" fontId="18" fillId="0" borderId="7" xfId="19" applyNumberFormat="1" applyFont="1" applyFill="1" applyBorder="1" applyAlignment="1" applyProtection="1">
      <alignment horizontal="center"/>
    </xf>
    <xf numFmtId="43" fontId="4" fillId="0" borderId="3" xfId="1" applyNumberFormat="1" applyFill="1" applyBorder="1" applyProtection="1"/>
    <xf numFmtId="43" fontId="4" fillId="0" borderId="7" xfId="1" applyNumberFormat="1" applyFill="1" applyBorder="1" applyProtection="1"/>
    <xf numFmtId="43" fontId="18" fillId="0" borderId="3" xfId="19" applyNumberFormat="1" applyFont="1" applyFill="1" applyBorder="1" applyAlignment="1" applyProtection="1">
      <alignment horizontal="center"/>
    </xf>
    <xf numFmtId="43" fontId="4" fillId="0" borderId="36" xfId="1" applyNumberFormat="1" applyFill="1" applyBorder="1" applyProtection="1"/>
    <xf numFmtId="43" fontId="18" fillId="0" borderId="32" xfId="19" applyNumberFormat="1" applyFont="1" applyFill="1" applyBorder="1" applyAlignment="1" applyProtection="1">
      <alignment horizontal="center"/>
    </xf>
    <xf numFmtId="43" fontId="4" fillId="0" borderId="11" xfId="1" applyNumberFormat="1" applyFill="1" applyBorder="1" applyProtection="1"/>
    <xf numFmtId="43" fontId="4" fillId="0" borderId="12" xfId="1" applyNumberFormat="1" applyFill="1" applyBorder="1" applyProtection="1"/>
    <xf numFmtId="14" fontId="4" fillId="0" borderId="0" xfId="19" applyNumberFormat="1" applyAlignment="1" applyProtection="1">
      <alignment horizontal="center"/>
    </xf>
    <xf numFmtId="0" fontId="23" fillId="0" borderId="0" xfId="19" applyFont="1" applyAlignment="1" applyProtection="1">
      <alignment horizontal="center"/>
    </xf>
    <xf numFmtId="14" fontId="23" fillId="0" borderId="0" xfId="19" applyNumberFormat="1" applyFont="1" applyBorder="1" applyAlignment="1" applyProtection="1">
      <alignment horizontal="center"/>
    </xf>
    <xf numFmtId="49" fontId="4" fillId="0" borderId="0" xfId="19" applyNumberFormat="1" applyAlignment="1" applyProtection="1">
      <alignment horizontal="center"/>
    </xf>
    <xf numFmtId="0" fontId="18" fillId="3" borderId="26" xfId="19" applyFont="1" applyFill="1" applyBorder="1" applyProtection="1"/>
    <xf numFmtId="49" fontId="7" fillId="0" borderId="0" xfId="19" applyNumberFormat="1" applyFont="1" applyAlignment="1" applyProtection="1">
      <alignment horizontal="center"/>
    </xf>
    <xf numFmtId="0" fontId="4" fillId="0" borderId="0" xfId="19" applyAlignment="1" applyProtection="1">
      <alignment vertical="center"/>
    </xf>
    <xf numFmtId="0" fontId="23" fillId="0" borderId="0" xfId="19" applyFont="1" applyAlignment="1" applyProtection="1">
      <alignment horizontal="center" vertical="center"/>
    </xf>
    <xf numFmtId="49" fontId="4" fillId="0" borderId="0" xfId="19" applyNumberFormat="1" applyFill="1" applyBorder="1" applyAlignment="1" applyProtection="1">
      <alignment horizontal="center"/>
    </xf>
    <xf numFmtId="43" fontId="4" fillId="0" borderId="0" xfId="1" applyFill="1" applyBorder="1" applyProtection="1"/>
    <xf numFmtId="10" fontId="4" fillId="0" borderId="0" xfId="13" applyNumberFormat="1" applyFill="1" applyBorder="1" applyProtection="1"/>
    <xf numFmtId="49" fontId="11" fillId="0" borderId="0" xfId="19" applyNumberFormat="1" applyFont="1" applyFill="1" applyBorder="1" applyAlignment="1" applyProtection="1">
      <alignment horizontal="center"/>
    </xf>
    <xf numFmtId="0" fontId="11" fillId="0" borderId="0" xfId="19" applyFont="1" applyFill="1" applyBorder="1" applyProtection="1"/>
    <xf numFmtId="0" fontId="11" fillId="0" borderId="0" xfId="19" applyFont="1" applyFill="1" applyBorder="1" applyAlignment="1" applyProtection="1">
      <alignment horizontal="right"/>
    </xf>
    <xf numFmtId="0" fontId="18" fillId="0" borderId="0" xfId="19" applyFont="1" applyFill="1" applyBorder="1" applyProtection="1"/>
    <xf numFmtId="0" fontId="39" fillId="0" borderId="0" xfId="19" applyFont="1" applyFill="1" applyProtection="1"/>
    <xf numFmtId="0" fontId="16" fillId="0" borderId="0" xfId="19" applyFont="1" applyFill="1" applyAlignment="1" applyProtection="1">
      <alignment horizontal="left"/>
    </xf>
    <xf numFmtId="0" fontId="4" fillId="0" borderId="69" xfId="19" applyFont="1" applyFill="1" applyBorder="1" applyProtection="1"/>
    <xf numFmtId="0" fontId="4" fillId="0" borderId="70" xfId="19" applyFill="1" applyBorder="1" applyProtection="1"/>
    <xf numFmtId="0" fontId="4" fillId="0" borderId="51" xfId="19" applyBorder="1" applyAlignment="1" applyProtection="1">
      <alignment horizontal="center"/>
    </xf>
    <xf numFmtId="14" fontId="4" fillId="0" borderId="11" xfId="19" applyNumberFormat="1" applyBorder="1" applyAlignment="1" applyProtection="1">
      <alignment horizontal="center"/>
    </xf>
    <xf numFmtId="43" fontId="4" fillId="3" borderId="11" xfId="1" applyFill="1" applyBorder="1" applyProtection="1"/>
    <xf numFmtId="49" fontId="39" fillId="0" borderId="0" xfId="19" applyNumberFormat="1" applyFont="1" applyAlignment="1" applyProtection="1">
      <alignment horizontal="left"/>
    </xf>
    <xf numFmtId="0" fontId="39" fillId="0" borderId="0" xfId="19" applyFont="1" applyProtection="1"/>
    <xf numFmtId="0" fontId="39" fillId="0" borderId="0" xfId="19" applyFont="1" applyAlignment="1" applyProtection="1">
      <alignment horizontal="right"/>
    </xf>
    <xf numFmtId="0" fontId="17" fillId="0" borderId="0" xfId="19" applyFont="1" applyAlignment="1" applyProtection="1">
      <alignment horizontal="center"/>
    </xf>
    <xf numFmtId="0" fontId="39" fillId="0" borderId="0" xfId="19" applyFont="1" applyAlignment="1" applyProtection="1">
      <alignment horizontal="left"/>
    </xf>
    <xf numFmtId="0" fontId="18" fillId="0" borderId="0" xfId="19" applyFont="1" applyProtection="1"/>
    <xf numFmtId="49" fontId="4" fillId="0" borderId="23" xfId="19" applyNumberFormat="1" applyFill="1" applyBorder="1" applyAlignment="1" applyProtection="1">
      <alignment horizontal="center"/>
    </xf>
    <xf numFmtId="0" fontId="4" fillId="0" borderId="23" xfId="19" applyBorder="1" applyAlignment="1" applyProtection="1">
      <alignment horizontal="right"/>
    </xf>
    <xf numFmtId="43" fontId="4" fillId="0" borderId="12" xfId="1" applyBorder="1" applyProtection="1"/>
    <xf numFmtId="0" fontId="4" fillId="0" borderId="31" xfId="19" applyBorder="1" applyAlignment="1" applyProtection="1">
      <alignment horizontal="right"/>
    </xf>
    <xf numFmtId="49" fontId="11" fillId="0" borderId="0" xfId="19" applyNumberFormat="1" applyFont="1" applyBorder="1" applyAlignment="1" applyProtection="1">
      <alignment horizontal="left"/>
    </xf>
    <xf numFmtId="0" fontId="11" fillId="0" borderId="0" xfId="19" applyFont="1" applyBorder="1" applyProtection="1"/>
    <xf numFmtId="0" fontId="11" fillId="0" borderId="0" xfId="19" applyFont="1" applyBorder="1" applyAlignment="1" applyProtection="1">
      <alignment horizontal="right"/>
    </xf>
    <xf numFmtId="0" fontId="7" fillId="0" borderId="0" xfId="19" applyFont="1" applyFill="1" applyAlignment="1" applyProtection="1">
      <alignment horizontal="center"/>
    </xf>
    <xf numFmtId="43" fontId="4" fillId="0" borderId="29" xfId="1" applyFill="1" applyBorder="1" applyAlignment="1" applyProtection="1">
      <alignment horizontal="right"/>
    </xf>
    <xf numFmtId="0" fontId="4" fillId="0" borderId="19" xfId="19" applyFill="1" applyBorder="1" applyAlignment="1" applyProtection="1">
      <alignment horizontal="right"/>
    </xf>
    <xf numFmtId="0" fontId="4" fillId="0" borderId="26" xfId="19" applyFont="1" applyFill="1" applyBorder="1" applyProtection="1"/>
    <xf numFmtId="0" fontId="4" fillId="0" borderId="23" xfId="19" applyFont="1" applyFill="1" applyBorder="1" applyProtection="1"/>
    <xf numFmtId="43" fontId="4" fillId="0" borderId="19" xfId="1" applyFill="1" applyBorder="1" applyAlignment="1" applyProtection="1">
      <alignment horizontal="right"/>
    </xf>
    <xf numFmtId="0" fontId="4" fillId="0" borderId="31" xfId="19" applyFill="1" applyBorder="1" applyProtection="1"/>
    <xf numFmtId="0" fontId="4" fillId="0" borderId="30" xfId="19" applyFill="1" applyBorder="1" applyProtection="1"/>
    <xf numFmtId="0" fontId="7" fillId="0" borderId="0" xfId="19" applyFont="1" applyAlignment="1" applyProtection="1">
      <alignment horizontal="center"/>
    </xf>
    <xf numFmtId="0" fontId="4" fillId="0" borderId="1" xfId="19" applyBorder="1" applyProtection="1"/>
    <xf numFmtId="43" fontId="4" fillId="0" borderId="29" xfId="1" applyBorder="1" applyAlignment="1" applyProtection="1">
      <alignment horizontal="right"/>
    </xf>
    <xf numFmtId="43" fontId="4" fillId="0" borderId="20" xfId="1" applyBorder="1" applyAlignment="1" applyProtection="1">
      <alignment horizontal="right"/>
    </xf>
    <xf numFmtId="0" fontId="4" fillId="0" borderId="26" xfId="19" applyBorder="1" applyProtection="1"/>
    <xf numFmtId="0" fontId="4" fillId="0" borderId="19" xfId="19" applyBorder="1" applyAlignment="1" applyProtection="1">
      <alignment horizontal="right"/>
    </xf>
    <xf numFmtId="43" fontId="4" fillId="0" borderId="19" xfId="19" applyNumberFormat="1" applyBorder="1" applyProtection="1"/>
    <xf numFmtId="0" fontId="4" fillId="0" borderId="18" xfId="19" applyFont="1" applyFill="1" applyBorder="1" applyProtection="1"/>
    <xf numFmtId="43" fontId="4" fillId="0" borderId="20" xfId="19" applyNumberFormat="1" applyBorder="1" applyProtection="1"/>
    <xf numFmtId="0" fontId="4" fillId="0" borderId="30" xfId="19" applyBorder="1" applyProtection="1"/>
    <xf numFmtId="0" fontId="4" fillId="0" borderId="2" xfId="19" applyFont="1" applyFill="1" applyBorder="1" applyAlignment="1" applyProtection="1">
      <alignment horizontal="center" vertical="center"/>
    </xf>
    <xf numFmtId="0" fontId="4" fillId="0" borderId="37" xfId="19" applyBorder="1" applyAlignment="1" applyProtection="1">
      <alignment horizontal="center" vertical="center" wrapText="1"/>
    </xf>
    <xf numFmtId="0" fontId="4" fillId="0" borderId="23" xfId="19" applyBorder="1" applyProtection="1">
      <protection locked="0"/>
    </xf>
    <xf numFmtId="0" fontId="4" fillId="0" borderId="18" xfId="19" applyBorder="1" applyAlignment="1" applyProtection="1">
      <alignment horizontal="right"/>
    </xf>
    <xf numFmtId="0" fontId="4" fillId="0" borderId="3" xfId="19" applyBorder="1" applyAlignment="1" applyProtection="1">
      <alignment horizontal="right"/>
    </xf>
    <xf numFmtId="0" fontId="17" fillId="0" borderId="5" xfId="19" applyFont="1" applyBorder="1" applyProtection="1"/>
    <xf numFmtId="0" fontId="4" fillId="0" borderId="5" xfId="19" applyBorder="1" applyProtection="1"/>
    <xf numFmtId="0" fontId="4" fillId="0" borderId="38" xfId="19" applyBorder="1" applyProtection="1"/>
    <xf numFmtId="0" fontId="17" fillId="0" borderId="26" xfId="19" applyFont="1" applyBorder="1" applyProtection="1"/>
    <xf numFmtId="0" fontId="4" fillId="0" borderId="26" xfId="19" applyBorder="1" applyAlignment="1" applyProtection="1">
      <alignment horizontal="right"/>
    </xf>
    <xf numFmtId="0" fontId="4" fillId="0" borderId="0" xfId="19" applyFont="1" applyFill="1" applyAlignment="1" applyProtection="1">
      <alignment horizontal="center"/>
    </xf>
    <xf numFmtId="0" fontId="4" fillId="0" borderId="8" xfId="19" applyFill="1" applyBorder="1" applyAlignment="1" applyProtection="1">
      <alignment horizontal="center"/>
    </xf>
    <xf numFmtId="43" fontId="4" fillId="0" borderId="8" xfId="1" applyFill="1" applyBorder="1" applyProtection="1"/>
    <xf numFmtId="14" fontId="4" fillId="0" borderId="18" xfId="19" quotePrefix="1" applyNumberFormat="1" applyFill="1" applyBorder="1" applyProtection="1"/>
    <xf numFmtId="0" fontId="4" fillId="0" borderId="3" xfId="19" quotePrefix="1" applyFont="1" applyFill="1" applyBorder="1" applyProtection="1"/>
    <xf numFmtId="43" fontId="0" fillId="0" borderId="30" xfId="1" applyFont="1" applyFill="1" applyBorder="1" applyProtection="1"/>
    <xf numFmtId="0" fontId="4" fillId="0" borderId="37" xfId="19" applyFill="1" applyBorder="1" applyAlignment="1" applyProtection="1">
      <alignment horizontal="center" vertical="center" wrapText="1"/>
    </xf>
    <xf numFmtId="43" fontId="4" fillId="0" borderId="20" xfId="1" applyFill="1" applyBorder="1" applyProtection="1"/>
    <xf numFmtId="0" fontId="4" fillId="0" borderId="29" xfId="19" applyFont="1" applyFill="1" applyBorder="1" applyProtection="1"/>
    <xf numFmtId="0" fontId="4" fillId="0" borderId="12" xfId="19" applyFont="1" applyFill="1" applyBorder="1" applyProtection="1"/>
    <xf numFmtId="0" fontId="4" fillId="3" borderId="23" xfId="19" applyFill="1" applyBorder="1" applyProtection="1"/>
    <xf numFmtId="0" fontId="4" fillId="3" borderId="31" xfId="19" applyFill="1" applyBorder="1" applyAlignment="1" applyProtection="1">
      <alignment horizontal="right"/>
    </xf>
    <xf numFmtId="0" fontId="4" fillId="3" borderId="11" xfId="19" applyFill="1" applyBorder="1" applyProtection="1"/>
    <xf numFmtId="0" fontId="4" fillId="3" borderId="14" xfId="19" applyFill="1" applyBorder="1" applyProtection="1"/>
    <xf numFmtId="43" fontId="4" fillId="0" borderId="35" xfId="1" applyBorder="1" applyProtection="1">
      <protection locked="0"/>
    </xf>
    <xf numFmtId="0" fontId="17" fillId="0" borderId="0" xfId="19" applyFont="1" applyProtection="1"/>
    <xf numFmtId="0" fontId="4" fillId="0" borderId="9" xfId="19" applyBorder="1" applyAlignment="1" applyProtection="1">
      <alignment horizontal="center"/>
    </xf>
    <xf numFmtId="0" fontId="4" fillId="0" borderId="8" xfId="19" applyBorder="1" applyAlignment="1" applyProtection="1">
      <alignment horizontal="center"/>
    </xf>
    <xf numFmtId="14" fontId="4" fillId="0" borderId="18" xfId="19" quotePrefix="1" applyNumberFormat="1" applyBorder="1" applyProtection="1"/>
    <xf numFmtId="0" fontId="4" fillId="0" borderId="3" xfId="19" quotePrefix="1" applyBorder="1" applyProtection="1"/>
    <xf numFmtId="43" fontId="4" fillId="0" borderId="0" xfId="19" applyNumberFormat="1" applyFill="1" applyBorder="1" applyAlignment="1" applyProtection="1">
      <alignment horizontal="center"/>
    </xf>
    <xf numFmtId="43" fontId="4" fillId="0" borderId="20" xfId="1" applyBorder="1" applyProtection="1"/>
    <xf numFmtId="43" fontId="4" fillId="0" borderId="0" xfId="19" applyNumberFormat="1" applyBorder="1" applyAlignment="1" applyProtection="1">
      <alignment horizontal="center"/>
    </xf>
    <xf numFmtId="0" fontId="4" fillId="0" borderId="29" xfId="19" applyBorder="1" applyProtection="1"/>
    <xf numFmtId="0" fontId="4" fillId="0" borderId="4" xfId="19" applyFill="1" applyBorder="1" applyAlignment="1" applyProtection="1">
      <alignment horizontal="center"/>
      <protection locked="0"/>
    </xf>
    <xf numFmtId="0" fontId="4" fillId="0" borderId="19" xfId="19" applyFill="1" applyBorder="1" applyProtection="1"/>
    <xf numFmtId="43" fontId="4" fillId="0" borderId="33" xfId="1" applyFill="1" applyBorder="1" applyAlignment="1" applyProtection="1"/>
    <xf numFmtId="43" fontId="4" fillId="0" borderId="47" xfId="1" applyFill="1" applyBorder="1" applyAlignment="1" applyProtection="1"/>
    <xf numFmtId="49" fontId="39" fillId="0" borderId="0" xfId="19" applyNumberFormat="1" applyFont="1" applyFill="1" applyAlignment="1" applyProtection="1">
      <alignment horizontal="left"/>
    </xf>
    <xf numFmtId="0" fontId="39" fillId="0" borderId="0" xfId="19" applyFont="1" applyFill="1" applyAlignment="1" applyProtection="1">
      <alignment horizontal="right"/>
    </xf>
    <xf numFmtId="0" fontId="39" fillId="0" borderId="0" xfId="19" applyFont="1" applyFill="1" applyAlignment="1" applyProtection="1">
      <alignment horizontal="left"/>
    </xf>
    <xf numFmtId="49" fontId="11" fillId="0" borderId="0" xfId="19" applyNumberFormat="1" applyFont="1" applyAlignment="1" applyProtection="1">
      <alignment horizontal="left"/>
    </xf>
    <xf numFmtId="0" fontId="11" fillId="0" borderId="0" xfId="19" applyFont="1" applyAlignment="1" applyProtection="1">
      <alignment horizontal="right"/>
    </xf>
    <xf numFmtId="43" fontId="4" fillId="0" borderId="47" xfId="1" applyFill="1" applyBorder="1" applyProtection="1"/>
    <xf numFmtId="49" fontId="4" fillId="2" borderId="3" xfId="19" applyNumberFormat="1" applyFill="1" applyBorder="1" applyAlignment="1" applyProtection="1">
      <alignment horizontal="left"/>
    </xf>
    <xf numFmtId="0" fontId="4" fillId="2" borderId="3" xfId="19" applyFill="1" applyBorder="1" applyProtection="1"/>
    <xf numFmtId="0" fontId="4" fillId="2" borderId="20" xfId="19" applyFill="1" applyBorder="1" applyProtection="1"/>
    <xf numFmtId="43" fontId="4" fillId="2" borderId="7" xfId="1" applyFill="1" applyBorder="1" applyProtection="1"/>
    <xf numFmtId="43" fontId="4" fillId="2" borderId="17" xfId="1" applyFill="1" applyBorder="1" applyProtection="1"/>
    <xf numFmtId="49" fontId="4" fillId="2" borderId="3" xfId="19" quotePrefix="1" applyNumberFormat="1" applyFill="1" applyBorder="1" applyAlignment="1" applyProtection="1">
      <alignment horizontal="left"/>
    </xf>
    <xf numFmtId="43" fontId="0" fillId="2" borderId="7" xfId="1" applyFont="1" applyFill="1" applyBorder="1" applyProtection="1"/>
    <xf numFmtId="43" fontId="4" fillId="2" borderId="6" xfId="1" applyFill="1" applyBorder="1" applyProtection="1"/>
    <xf numFmtId="0" fontId="4" fillId="2" borderId="20" xfId="19" applyFill="1" applyBorder="1" applyAlignment="1" applyProtection="1">
      <alignment horizontal="right"/>
    </xf>
    <xf numFmtId="43" fontId="4" fillId="2" borderId="25" xfId="1" applyFill="1" applyBorder="1" applyProtection="1"/>
    <xf numFmtId="43" fontId="4" fillId="2" borderId="50" xfId="1" applyFill="1" applyBorder="1" applyProtection="1"/>
    <xf numFmtId="43" fontId="4" fillId="0" borderId="0" xfId="1" applyProtection="1"/>
    <xf numFmtId="0" fontId="0" fillId="2" borderId="3" xfId="0" applyFill="1" applyBorder="1" applyAlignment="1" applyProtection="1">
      <alignment horizontal="left"/>
      <protection locked="0"/>
    </xf>
    <xf numFmtId="0" fontId="0" fillId="2" borderId="20" xfId="0" applyFill="1" applyBorder="1" applyAlignment="1" applyProtection="1">
      <alignment horizontal="left"/>
      <protection locked="0"/>
    </xf>
    <xf numFmtId="43" fontId="0" fillId="0" borderId="2" xfId="1" applyFont="1" applyBorder="1" applyAlignment="1">
      <alignment horizontal="center" vertical="center"/>
    </xf>
    <xf numFmtId="0" fontId="71" fillId="0" borderId="0" xfId="0" applyFont="1"/>
    <xf numFmtId="43" fontId="4" fillId="2" borderId="3" xfId="1" applyFont="1" applyFill="1" applyBorder="1" applyAlignment="1" applyProtection="1">
      <alignment horizontal="center"/>
      <protection locked="0"/>
    </xf>
    <xf numFmtId="0" fontId="0" fillId="0" borderId="8" xfId="0" applyFill="1" applyBorder="1" applyProtection="1"/>
    <xf numFmtId="0" fontId="0" fillId="0" borderId="8" xfId="0" applyFill="1" applyBorder="1" applyProtection="1">
      <protection locked="0"/>
    </xf>
    <xf numFmtId="0" fontId="4" fillId="0" borderId="8" xfId="0" applyFont="1" applyBorder="1"/>
    <xf numFmtId="0" fontId="4" fillId="2" borderId="8" xfId="0" applyFont="1" applyFill="1" applyBorder="1" applyProtection="1">
      <protection locked="0"/>
    </xf>
    <xf numFmtId="0" fontId="0" fillId="0" borderId="23" xfId="0" applyFill="1" applyBorder="1" applyAlignment="1" applyProtection="1"/>
    <xf numFmtId="0" fontId="0" fillId="0" borderId="23" xfId="0" applyFill="1" applyBorder="1" applyAlignment="1" applyProtection="1">
      <protection locked="0"/>
    </xf>
    <xf numFmtId="0" fontId="4" fillId="0" borderId="23" xfId="0" applyFont="1" applyFill="1" applyBorder="1" applyAlignment="1" applyProtection="1">
      <alignment horizontal="right"/>
    </xf>
    <xf numFmtId="0" fontId="0" fillId="2" borderId="25" xfId="0" applyFill="1" applyBorder="1" applyAlignment="1" applyProtection="1">
      <alignment horizontal="center"/>
      <protection locked="0"/>
    </xf>
    <xf numFmtId="43" fontId="0" fillId="2" borderId="25" xfId="1" applyFont="1" applyFill="1" applyBorder="1" applyAlignment="1" applyProtection="1">
      <alignment horizontal="center"/>
      <protection locked="0"/>
    </xf>
    <xf numFmtId="166" fontId="0" fillId="2" borderId="50" xfId="0" applyNumberFormat="1" applyFill="1" applyBorder="1" applyAlignment="1" applyProtection="1">
      <alignment horizontal="center"/>
      <protection locked="0"/>
    </xf>
    <xf numFmtId="14" fontId="4" fillId="2" borderId="33" xfId="19" applyNumberFormat="1" applyFill="1" applyBorder="1" applyAlignment="1" applyProtection="1">
      <protection locked="0"/>
    </xf>
    <xf numFmtId="14" fontId="4" fillId="2" borderId="7" xfId="19" applyNumberFormat="1" applyFill="1" applyBorder="1" applyAlignment="1" applyProtection="1">
      <protection locked="0"/>
    </xf>
    <xf numFmtId="0" fontId="4" fillId="2" borderId="7" xfId="19" applyFill="1" applyBorder="1" applyAlignment="1" applyProtection="1">
      <protection locked="0"/>
    </xf>
    <xf numFmtId="0" fontId="4" fillId="2" borderId="6" xfId="19" applyFill="1" applyBorder="1" applyAlignment="1" applyProtection="1">
      <protection locked="0"/>
    </xf>
    <xf numFmtId="49" fontId="4" fillId="0" borderId="23" xfId="19" applyNumberFormat="1" applyBorder="1" applyAlignment="1" applyProtection="1">
      <alignment horizontal="center"/>
      <protection locked="0"/>
    </xf>
    <xf numFmtId="0" fontId="4" fillId="3" borderId="23" xfId="19" applyFill="1" applyBorder="1" applyProtection="1">
      <protection locked="0"/>
    </xf>
    <xf numFmtId="0" fontId="4" fillId="3" borderId="31" xfId="19" applyFill="1" applyBorder="1" applyAlignment="1" applyProtection="1">
      <alignment horizontal="right"/>
      <protection locked="0"/>
    </xf>
    <xf numFmtId="49" fontId="4" fillId="2" borderId="20" xfId="19" applyNumberFormat="1" applyFill="1" applyBorder="1" applyAlignment="1" applyProtection="1">
      <alignment horizontal="left"/>
      <protection locked="0"/>
    </xf>
    <xf numFmtId="43" fontId="4" fillId="0" borderId="20" xfId="1" applyFill="1" applyBorder="1" applyAlignment="1" applyProtection="1">
      <alignment horizontal="center"/>
    </xf>
    <xf numFmtId="0" fontId="23" fillId="0" borderId="0" xfId="19" applyFont="1" applyFill="1" applyBorder="1" applyProtection="1"/>
    <xf numFmtId="0" fontId="4" fillId="0" borderId="0" xfId="19" applyFont="1" applyFill="1" applyBorder="1" applyProtection="1"/>
    <xf numFmtId="0" fontId="4" fillId="2" borderId="3" xfId="0" applyFon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0" fillId="0" borderId="21" xfId="0" applyBorder="1" applyAlignment="1">
      <alignment horizontal="center" vertical="center"/>
    </xf>
    <xf numFmtId="0" fontId="72" fillId="0" borderId="0" xfId="0" applyFont="1"/>
    <xf numFmtId="0" fontId="4" fillId="2" borderId="93" xfId="0" applyNumberFormat="1" applyFont="1" applyFill="1" applyBorder="1" applyAlignment="1" applyProtection="1">
      <alignment horizontal="left"/>
      <protection locked="0"/>
    </xf>
    <xf numFmtId="43" fontId="14" fillId="0" borderId="26" xfId="1" applyFont="1" applyFill="1" applyBorder="1" applyProtection="1"/>
    <xf numFmtId="43" fontId="14" fillId="2" borderId="26" xfId="1" applyFont="1" applyFill="1" applyBorder="1" applyProtection="1">
      <protection locked="0"/>
    </xf>
    <xf numFmtId="43" fontId="14" fillId="2" borderId="32" xfId="1" applyFont="1" applyFill="1" applyBorder="1" applyProtection="1">
      <protection locked="0"/>
    </xf>
    <xf numFmtId="43" fontId="14" fillId="0" borderId="27" xfId="1" applyFont="1" applyFill="1" applyBorder="1" applyProtection="1"/>
    <xf numFmtId="43" fontId="4" fillId="2" borderId="27" xfId="1" applyFont="1" applyFill="1" applyBorder="1" applyProtection="1">
      <protection locked="0"/>
    </xf>
    <xf numFmtId="0" fontId="1" fillId="0" borderId="0" xfId="85" applyFont="1" applyProtection="1"/>
    <xf numFmtId="0" fontId="54" fillId="0" borderId="0" xfId="87"/>
    <xf numFmtId="0" fontId="14" fillId="2" borderId="3" xfId="0" applyFont="1" applyFill="1" applyBorder="1" applyAlignment="1" applyProtection="1">
      <alignment horizontal="left"/>
      <protection locked="0"/>
    </xf>
    <xf numFmtId="0" fontId="14" fillId="2" borderId="20" xfId="0" applyFont="1" applyFill="1" applyBorder="1" applyAlignment="1" applyProtection="1">
      <alignment horizontal="left"/>
      <protection locked="0"/>
    </xf>
    <xf numFmtId="0" fontId="0" fillId="0" borderId="3" xfId="0" applyFill="1" applyBorder="1" applyAlignment="1" applyProtection="1">
      <alignment horizontal="left" vertical="center"/>
      <protection locked="0"/>
    </xf>
    <xf numFmtId="0" fontId="0" fillId="0" borderId="20" xfId="0" applyFill="1" applyBorder="1" applyAlignment="1" applyProtection="1">
      <alignment horizontal="left" vertical="center"/>
      <protection locked="0"/>
    </xf>
    <xf numFmtId="0" fontId="0" fillId="0" borderId="3" xfId="0" applyFont="1"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20" xfId="0" applyFill="1" applyBorder="1" applyAlignment="1" applyProtection="1">
      <alignment horizontal="left" vertical="center"/>
      <protection locked="0"/>
    </xf>
    <xf numFmtId="0" fontId="4" fillId="2" borderId="3" xfId="0" applyFont="1" applyFill="1" applyBorder="1" applyAlignment="1" applyProtection="1">
      <alignment horizontal="left" vertical="center"/>
      <protection locked="0"/>
    </xf>
    <xf numFmtId="49" fontId="0" fillId="2" borderId="3" xfId="0" applyNumberFormat="1" applyFill="1" applyBorder="1" applyAlignment="1" applyProtection="1">
      <alignment horizontal="left"/>
      <protection locked="0"/>
    </xf>
    <xf numFmtId="49" fontId="0" fillId="2" borderId="20" xfId="0" applyNumberFormat="1" applyFill="1" applyBorder="1" applyAlignment="1" applyProtection="1">
      <alignment horizontal="left"/>
      <protection locked="0"/>
    </xf>
    <xf numFmtId="0" fontId="4" fillId="2" borderId="3" xfId="0" applyFont="1" applyFill="1" applyBorder="1" applyAlignment="1" applyProtection="1">
      <alignment horizontal="left"/>
      <protection locked="0"/>
    </xf>
    <xf numFmtId="0" fontId="4" fillId="2" borderId="20" xfId="0" applyFont="1" applyFill="1" applyBorder="1" applyAlignment="1" applyProtection="1">
      <alignment horizontal="left"/>
      <protection locked="0"/>
    </xf>
    <xf numFmtId="0" fontId="4" fillId="2" borderId="92" xfId="0" applyFont="1" applyFill="1" applyBorder="1" applyProtection="1">
      <protection locked="0"/>
    </xf>
    <xf numFmtId="14" fontId="4" fillId="2" borderId="26" xfId="0" applyNumberFormat="1" applyFont="1" applyFill="1" applyBorder="1" applyProtection="1">
      <protection locked="0"/>
    </xf>
    <xf numFmtId="14" fontId="0" fillId="2" borderId="26" xfId="0" applyNumberFormat="1" applyFill="1" applyBorder="1" applyProtection="1">
      <protection locked="0"/>
    </xf>
    <xf numFmtId="0" fontId="24" fillId="0" borderId="0" xfId="0" applyFont="1" applyAlignment="1">
      <alignment horizontal="center"/>
    </xf>
    <xf numFmtId="0" fontId="13" fillId="0" borderId="0" xfId="0" applyFont="1" applyAlignment="1">
      <alignment horizontal="center"/>
    </xf>
    <xf numFmtId="0" fontId="7" fillId="0" borderId="0" xfId="0" applyFont="1" applyAlignment="1">
      <alignment horizontal="center"/>
    </xf>
    <xf numFmtId="49" fontId="18" fillId="0" borderId="0" xfId="0" applyNumberFormat="1" applyFont="1" applyAlignment="1">
      <alignment horizontal="center"/>
    </xf>
    <xf numFmtId="0" fontId="18" fillId="0" borderId="0" xfId="0" applyFont="1" applyAlignment="1">
      <alignment horizontal="center"/>
    </xf>
    <xf numFmtId="0" fontId="28" fillId="0" borderId="0" xfId="0" applyFont="1" applyAlignment="1">
      <alignment horizontal="center"/>
    </xf>
    <xf numFmtId="0" fontId="16" fillId="0" borderId="0" xfId="0" applyFont="1" applyAlignment="1">
      <alignment horizontal="center"/>
    </xf>
    <xf numFmtId="14" fontId="18" fillId="0" borderId="0" xfId="0" applyNumberFormat="1" applyFont="1" applyAlignment="1">
      <alignment horizontal="center"/>
    </xf>
    <xf numFmtId="37" fontId="0" fillId="0" borderId="26" xfId="0" applyNumberFormat="1" applyBorder="1" applyAlignment="1">
      <alignment horizontal="center"/>
    </xf>
    <xf numFmtId="0" fontId="0" fillId="0" borderId="26" xfId="0" applyBorder="1" applyAlignment="1">
      <alignment horizontal="center"/>
    </xf>
    <xf numFmtId="49" fontId="4" fillId="0" borderId="3" xfId="0" applyNumberFormat="1" applyFont="1" applyBorder="1" applyAlignment="1">
      <alignment horizontal="center"/>
    </xf>
    <xf numFmtId="0" fontId="0" fillId="0" borderId="3" xfId="0" applyNumberFormat="1" applyBorder="1" applyAlignment="1">
      <alignment horizontal="center"/>
    </xf>
    <xf numFmtId="165" fontId="0" fillId="0" borderId="3" xfId="1" applyNumberFormat="1" applyFont="1" applyFill="1" applyBorder="1" applyAlignment="1">
      <alignment horizontal="center"/>
    </xf>
    <xf numFmtId="0" fontId="18" fillId="0" borderId="26" xfId="0" applyFont="1" applyBorder="1" applyAlignment="1">
      <alignment horizontal="center"/>
    </xf>
    <xf numFmtId="0" fontId="11" fillId="2" borderId="26" xfId="0" applyFont="1" applyFill="1" applyBorder="1" applyAlignment="1" applyProtection="1">
      <alignment horizontal="left"/>
      <protection locked="0"/>
    </xf>
    <xf numFmtId="0" fontId="0" fillId="0" borderId="62" xfId="0" applyBorder="1" applyAlignment="1">
      <alignment horizontal="center" vertical="center"/>
    </xf>
    <xf numFmtId="0" fontId="16" fillId="0" borderId="26" xfId="0" applyFont="1" applyBorder="1" applyAlignment="1">
      <alignment horizontal="center"/>
    </xf>
    <xf numFmtId="0" fontId="4" fillId="2" borderId="62" xfId="0" applyFont="1" applyFill="1" applyBorder="1" applyAlignment="1" applyProtection="1">
      <alignment horizontal="center" vertical="center"/>
      <protection locked="0"/>
    </xf>
    <xf numFmtId="0" fontId="0" fillId="2" borderId="62" xfId="0" applyFill="1" applyBorder="1" applyAlignment="1" applyProtection="1">
      <alignment horizontal="center" vertical="center"/>
      <protection locked="0"/>
    </xf>
    <xf numFmtId="0" fontId="11" fillId="2" borderId="26" xfId="0" applyFont="1" applyFill="1" applyBorder="1" applyAlignment="1" applyProtection="1">
      <alignment horizontal="center"/>
      <protection locked="0"/>
    </xf>
    <xf numFmtId="0" fontId="42" fillId="2" borderId="26" xfId="0" applyFont="1" applyFill="1" applyBorder="1" applyAlignment="1" applyProtection="1">
      <alignment horizontal="center"/>
      <protection locked="0"/>
    </xf>
    <xf numFmtId="0" fontId="4" fillId="2" borderId="3" xfId="0" applyFont="1" applyFill="1" applyBorder="1" applyAlignment="1" applyProtection="1">
      <alignment horizontal="center"/>
      <protection locked="0"/>
    </xf>
    <xf numFmtId="0" fontId="0" fillId="2" borderId="3" xfId="0" applyFill="1" applyBorder="1" applyAlignment="1" applyProtection="1">
      <alignment horizontal="center"/>
      <protection locked="0"/>
    </xf>
    <xf numFmtId="0" fontId="4" fillId="0" borderId="26" xfId="0" applyFont="1" applyFill="1" applyBorder="1" applyAlignment="1" applyProtection="1">
      <alignment horizontal="left"/>
    </xf>
    <xf numFmtId="0" fontId="0" fillId="0" borderId="3" xfId="0" applyBorder="1" applyAlignment="1">
      <alignment horizontal="center"/>
    </xf>
    <xf numFmtId="0" fontId="17" fillId="0" borderId="5" xfId="0" applyFont="1" applyBorder="1" applyAlignment="1">
      <alignment horizontal="center"/>
    </xf>
    <xf numFmtId="0" fontId="0" fillId="2" borderId="26" xfId="0" applyFill="1" applyBorder="1" applyAlignment="1" applyProtection="1">
      <alignment horizontal="center"/>
      <protection locked="0"/>
    </xf>
    <xf numFmtId="0" fontId="17" fillId="0" borderId="0" xfId="0" applyFont="1" applyBorder="1" applyAlignment="1">
      <alignment horizontal="center"/>
    </xf>
    <xf numFmtId="0" fontId="24" fillId="0" borderId="26" xfId="0" applyFont="1" applyBorder="1" applyAlignment="1">
      <alignment horizontal="center"/>
    </xf>
    <xf numFmtId="0" fontId="4" fillId="2" borderId="26" xfId="0" applyFont="1" applyFill="1" applyBorder="1" applyAlignment="1" applyProtection="1">
      <alignment horizontal="center"/>
      <protection locked="0"/>
    </xf>
    <xf numFmtId="14" fontId="24" fillId="0" borderId="26" xfId="0" applyNumberFormat="1" applyFont="1" applyBorder="1" applyAlignment="1">
      <alignment horizontal="center"/>
    </xf>
    <xf numFmtId="0" fontId="18" fillId="0" borderId="0" xfId="0" applyFont="1" applyBorder="1" applyAlignment="1">
      <alignment horizontal="center"/>
    </xf>
    <xf numFmtId="0" fontId="0" fillId="0" borderId="26" xfId="0" applyFill="1" applyBorder="1" applyAlignment="1" applyProtection="1">
      <alignment horizontal="center"/>
      <protection locked="0"/>
    </xf>
    <xf numFmtId="0" fontId="0" fillId="0" borderId="26" xfId="0" applyFill="1" applyBorder="1" applyAlignment="1">
      <alignment horizontal="center"/>
    </xf>
    <xf numFmtId="14" fontId="0" fillId="2" borderId="3" xfId="0" applyNumberFormat="1" applyFill="1" applyBorder="1" applyAlignment="1" applyProtection="1">
      <alignment horizontal="center"/>
      <protection locked="0"/>
    </xf>
    <xf numFmtId="0" fontId="25" fillId="0" borderId="0" xfId="0" applyFont="1" applyAlignment="1">
      <alignment horizontal="center"/>
    </xf>
    <xf numFmtId="14" fontId="4" fillId="2" borderId="3" xfId="0" applyNumberFormat="1" applyFont="1" applyFill="1" applyBorder="1" applyAlignment="1" applyProtection="1">
      <alignment horizontal="center"/>
      <protection locked="0"/>
    </xf>
    <xf numFmtId="164" fontId="18" fillId="0" borderId="26" xfId="0" applyNumberFormat="1" applyFont="1" applyBorder="1" applyAlignment="1">
      <alignment horizontal="center"/>
    </xf>
    <xf numFmtId="49" fontId="0" fillId="0" borderId="0" xfId="0" applyNumberFormat="1" applyAlignment="1">
      <alignment horizontal="center"/>
    </xf>
    <xf numFmtId="0" fontId="0" fillId="0" borderId="0" xfId="0" applyAlignment="1">
      <alignment horizontal="center"/>
    </xf>
    <xf numFmtId="0" fontId="0" fillId="0" borderId="5" xfId="0" applyBorder="1" applyAlignment="1">
      <alignment horizontal="center"/>
    </xf>
    <xf numFmtId="43" fontId="4" fillId="2" borderId="26" xfId="1" applyFill="1" applyBorder="1" applyAlignment="1" applyProtection="1">
      <alignment horizontal="center"/>
      <protection locked="0"/>
    </xf>
    <xf numFmtId="0" fontId="6" fillId="0" borderId="0" xfId="0" applyFont="1" applyAlignment="1">
      <alignment horizontal="center"/>
    </xf>
    <xf numFmtId="0" fontId="19" fillId="0" borderId="0" xfId="0" applyFont="1" applyAlignment="1">
      <alignment horizontal="center"/>
    </xf>
    <xf numFmtId="43" fontId="0" fillId="2" borderId="26" xfId="1" applyFont="1" applyFill="1" applyBorder="1" applyAlignment="1" applyProtection="1">
      <alignment horizontal="center"/>
      <protection locked="0"/>
    </xf>
    <xf numFmtId="0" fontId="26" fillId="2" borderId="26" xfId="0" applyFont="1" applyFill="1" applyBorder="1" applyAlignment="1" applyProtection="1">
      <alignment horizontal="center"/>
      <protection locked="0"/>
    </xf>
    <xf numFmtId="0" fontId="0" fillId="0" borderId="1" xfId="0" applyBorder="1" applyAlignment="1">
      <alignment horizontal="center" vertical="center"/>
    </xf>
    <xf numFmtId="0" fontId="0" fillId="0" borderId="49" xfId="0" applyBorder="1" applyAlignment="1">
      <alignment horizontal="center" vertical="center"/>
    </xf>
    <xf numFmtId="0" fontId="8" fillId="0" borderId="0" xfId="0" applyFont="1" applyAlignment="1">
      <alignment horizontal="center"/>
    </xf>
    <xf numFmtId="14" fontId="7" fillId="0" borderId="0" xfId="0" applyNumberFormat="1" applyFont="1" applyAlignment="1">
      <alignment horizontal="center"/>
    </xf>
    <xf numFmtId="0" fontId="9" fillId="0" borderId="8" xfId="0" applyFont="1" applyBorder="1" applyAlignment="1">
      <alignment horizontal="center" vertical="top"/>
    </xf>
    <xf numFmtId="0" fontId="4" fillId="2" borderId="3" xfId="0" applyFont="1" applyFill="1" applyBorder="1" applyAlignment="1" applyProtection="1">
      <alignment horizontal="left"/>
      <protection locked="0"/>
    </xf>
    <xf numFmtId="0" fontId="4" fillId="2" borderId="20" xfId="0" applyFont="1" applyFill="1" applyBorder="1" applyAlignment="1" applyProtection="1">
      <alignment horizontal="left"/>
      <protection locked="0"/>
    </xf>
    <xf numFmtId="0" fontId="12" fillId="0" borderId="0" xfId="0" applyFont="1" applyAlignment="1">
      <alignment horizontal="center"/>
    </xf>
    <xf numFmtId="0" fontId="18" fillId="0" borderId="0" xfId="0" applyFont="1" applyAlignment="1" applyProtection="1">
      <alignment horizontal="center"/>
    </xf>
    <xf numFmtId="0" fontId="24" fillId="0" borderId="0" xfId="0" applyFont="1" applyAlignment="1" applyProtection="1">
      <alignment horizontal="center"/>
    </xf>
    <xf numFmtId="0" fontId="0" fillId="2" borderId="3" xfId="0" applyFill="1" applyBorder="1" applyAlignment="1" applyProtection="1">
      <alignment horizontal="left"/>
      <protection locked="0"/>
    </xf>
    <xf numFmtId="0" fontId="0" fillId="2" borderId="20" xfId="0" applyFill="1" applyBorder="1" applyAlignment="1" applyProtection="1">
      <alignment horizontal="left"/>
      <protection locked="0"/>
    </xf>
    <xf numFmtId="0" fontId="6" fillId="0" borderId="0" xfId="0" applyFont="1" applyAlignment="1" applyProtection="1">
      <alignment horizontal="center"/>
    </xf>
    <xf numFmtId="0" fontId="12" fillId="0" borderId="0" xfId="0" applyFont="1" applyAlignment="1" applyProtection="1">
      <alignment horizontal="center"/>
    </xf>
    <xf numFmtId="14" fontId="7" fillId="0" borderId="0" xfId="0" applyNumberFormat="1" applyFont="1" applyAlignment="1" applyProtection="1">
      <alignment horizontal="center"/>
    </xf>
    <xf numFmtId="0" fontId="7" fillId="0" borderId="0" xfId="0" applyFont="1" applyAlignment="1" applyProtection="1">
      <alignment horizontal="center"/>
    </xf>
    <xf numFmtId="0" fontId="4"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49" xfId="0" applyBorder="1" applyAlignment="1" applyProtection="1">
      <alignment horizontal="center" vertical="center"/>
    </xf>
    <xf numFmtId="0" fontId="23" fillId="0" borderId="0" xfId="0" applyFont="1" applyAlignment="1">
      <alignment horizontal="center"/>
    </xf>
    <xf numFmtId="49" fontId="24" fillId="0" borderId="0" xfId="0" applyNumberFormat="1" applyFont="1" applyAlignment="1">
      <alignment horizontal="center"/>
    </xf>
    <xf numFmtId="0" fontId="7" fillId="0" borderId="64" xfId="0" applyFont="1" applyBorder="1" applyAlignment="1">
      <alignment horizontal="center" vertical="top"/>
    </xf>
    <xf numFmtId="0" fontId="7" fillId="0" borderId="26" xfId="0" applyFont="1" applyBorder="1" applyAlignment="1">
      <alignment horizontal="center" vertical="top"/>
    </xf>
    <xf numFmtId="0" fontId="7" fillId="0" borderId="41" xfId="0" applyFont="1" applyBorder="1" applyAlignment="1">
      <alignment horizontal="center" vertical="top"/>
    </xf>
    <xf numFmtId="0" fontId="24" fillId="0" borderId="0" xfId="0" applyFont="1" applyAlignment="1">
      <alignment horizontal="center" vertical="center" textRotation="180" wrapText="1"/>
    </xf>
    <xf numFmtId="0" fontId="15" fillId="0" borderId="0" xfId="0" applyFont="1" applyAlignment="1">
      <alignment horizontal="left"/>
    </xf>
    <xf numFmtId="0" fontId="4" fillId="2" borderId="3" xfId="0" applyFont="1"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20" xfId="0" applyFill="1" applyBorder="1" applyAlignment="1" applyProtection="1">
      <alignment horizontal="left" vertical="center"/>
      <protection locked="0"/>
    </xf>
    <xf numFmtId="0" fontId="5" fillId="0" borderId="8" xfId="0" applyFont="1" applyBorder="1" applyAlignment="1">
      <alignment horizontal="center"/>
    </xf>
    <xf numFmtId="0" fontId="0" fillId="0" borderId="28" xfId="0" applyBorder="1" applyAlignment="1">
      <alignment horizontal="center" vertical="center"/>
    </xf>
    <xf numFmtId="0" fontId="0" fillId="0" borderId="19" xfId="0" applyBorder="1" applyAlignment="1">
      <alignment horizontal="center" vertical="center"/>
    </xf>
    <xf numFmtId="0" fontId="4" fillId="0" borderId="3" xfId="0" applyFont="1" applyFill="1" applyBorder="1" applyAlignment="1" applyProtection="1">
      <alignment horizontal="left" vertical="center"/>
    </xf>
    <xf numFmtId="0" fontId="0" fillId="0" borderId="3" xfId="0" applyFill="1" applyBorder="1" applyAlignment="1" applyProtection="1">
      <alignment horizontal="left" vertical="center"/>
    </xf>
    <xf numFmtId="0" fontId="0" fillId="0" borderId="20" xfId="0" applyFill="1" applyBorder="1" applyAlignment="1" applyProtection="1">
      <alignment horizontal="left" vertical="center"/>
    </xf>
    <xf numFmtId="0" fontId="0" fillId="2" borderId="26" xfId="0" applyFill="1" applyBorder="1" applyAlignment="1" applyProtection="1">
      <alignment horizontal="left" vertical="center"/>
      <protection locked="0"/>
    </xf>
    <xf numFmtId="0" fontId="0" fillId="2" borderId="41" xfId="0" applyFill="1" applyBorder="1" applyAlignment="1" applyProtection="1">
      <alignment horizontal="left" vertical="center"/>
      <protection locked="0"/>
    </xf>
    <xf numFmtId="0" fontId="24" fillId="0" borderId="0" xfId="0" applyFont="1" applyFill="1" applyAlignment="1">
      <alignment horizontal="center"/>
    </xf>
    <xf numFmtId="0" fontId="7" fillId="0" borderId="0" xfId="0" applyFont="1" applyFill="1" applyAlignment="1">
      <alignment horizontal="center"/>
    </xf>
    <xf numFmtId="0" fontId="5" fillId="0" borderId="0" xfId="0" applyFont="1" applyFill="1" applyBorder="1" applyAlignment="1">
      <alignment horizontal="center"/>
    </xf>
    <xf numFmtId="0" fontId="0" fillId="0" borderId="0" xfId="0" applyFill="1" applyAlignment="1">
      <alignment horizontal="center"/>
    </xf>
    <xf numFmtId="0" fontId="5" fillId="0" borderId="0" xfId="0" applyFont="1" applyBorder="1" applyAlignment="1" applyProtection="1">
      <alignment horizontal="center"/>
    </xf>
    <xf numFmtId="0" fontId="0" fillId="0" borderId="21" xfId="0" applyBorder="1" applyAlignment="1">
      <alignment horizontal="center"/>
    </xf>
    <xf numFmtId="0" fontId="13" fillId="0" borderId="0" xfId="0" applyFont="1" applyAlignment="1" applyProtection="1">
      <alignment horizontal="center"/>
    </xf>
    <xf numFmtId="0" fontId="0" fillId="0" borderId="0" xfId="0" applyAlignment="1" applyProtection="1">
      <alignment horizontal="center"/>
    </xf>
    <xf numFmtId="0" fontId="0" fillId="0" borderId="21" xfId="0" applyBorder="1" applyAlignment="1" applyProtection="1">
      <alignment horizontal="center"/>
    </xf>
    <xf numFmtId="0" fontId="24" fillId="0" borderId="0" xfId="0" applyFont="1" applyAlignment="1">
      <alignment vertical="center" textRotation="180" wrapText="1"/>
    </xf>
    <xf numFmtId="0" fontId="0" fillId="0" borderId="46" xfId="0" applyBorder="1" applyAlignment="1">
      <alignment horizontal="center"/>
    </xf>
    <xf numFmtId="0" fontId="0" fillId="0" borderId="51" xfId="0" applyBorder="1" applyAlignment="1">
      <alignment horizontal="center"/>
    </xf>
    <xf numFmtId="0" fontId="0" fillId="0" borderId="64" xfId="0" applyBorder="1" applyAlignment="1">
      <alignment horizontal="center"/>
    </xf>
    <xf numFmtId="0" fontId="0" fillId="0" borderId="41" xfId="0" applyBorder="1" applyAlignment="1">
      <alignment horizontal="center"/>
    </xf>
    <xf numFmtId="0" fontId="14" fillId="2" borderId="3" xfId="0" applyFont="1" applyFill="1" applyBorder="1" applyAlignment="1" applyProtection="1">
      <alignment horizontal="left"/>
      <protection locked="0"/>
    </xf>
    <xf numFmtId="0" fontId="14" fillId="2" borderId="20" xfId="0" applyFont="1" applyFill="1" applyBorder="1" applyAlignment="1" applyProtection="1">
      <alignment horizontal="left"/>
      <protection locked="0"/>
    </xf>
    <xf numFmtId="0" fontId="0" fillId="0" borderId="46" xfId="0" applyBorder="1" applyAlignment="1" applyProtection="1">
      <alignment horizontal="center"/>
    </xf>
    <xf numFmtId="0" fontId="0" fillId="0" borderId="51" xfId="0" applyBorder="1" applyAlignment="1" applyProtection="1">
      <alignment horizontal="center"/>
    </xf>
    <xf numFmtId="0" fontId="0" fillId="0" borderId="64" xfId="0" applyBorder="1" applyAlignment="1" applyProtection="1">
      <alignment horizontal="center"/>
    </xf>
    <xf numFmtId="0" fontId="0" fillId="0" borderId="41" xfId="0" applyBorder="1" applyAlignment="1" applyProtection="1">
      <alignment horizontal="center"/>
    </xf>
    <xf numFmtId="0" fontId="14" fillId="2" borderId="3" xfId="0" applyFont="1" applyFill="1" applyBorder="1" applyAlignment="1" applyProtection="1">
      <alignment horizontal="center"/>
      <protection locked="0"/>
    </xf>
    <xf numFmtId="0" fontId="14" fillId="2" borderId="20" xfId="0" applyFont="1" applyFill="1" applyBorder="1" applyAlignment="1" applyProtection="1">
      <alignment horizontal="center"/>
      <protection locked="0"/>
    </xf>
    <xf numFmtId="0" fontId="0" fillId="0" borderId="0" xfId="0" applyAlignment="1"/>
    <xf numFmtId="0" fontId="15" fillId="0" borderId="0" xfId="0" applyFont="1" applyAlignment="1">
      <alignment horizontal="center"/>
    </xf>
    <xf numFmtId="0" fontId="64" fillId="0" borderId="54" xfId="0" applyFont="1" applyBorder="1" applyAlignment="1">
      <alignment horizontal="center"/>
    </xf>
    <xf numFmtId="0" fontId="64" fillId="0" borderId="55" xfId="0" applyFont="1" applyBorder="1" applyAlignment="1">
      <alignment horizontal="center"/>
    </xf>
    <xf numFmtId="0" fontId="64" fillId="0" borderId="59" xfId="0" applyFont="1" applyBorder="1" applyAlignment="1">
      <alignment horizontal="center"/>
    </xf>
    <xf numFmtId="0" fontId="64" fillId="0" borderId="60" xfId="0" applyFont="1" applyBorder="1" applyAlignment="1">
      <alignment horizontal="center"/>
    </xf>
    <xf numFmtId="0" fontId="0" fillId="0" borderId="9" xfId="0" applyBorder="1" applyAlignment="1">
      <alignment horizontal="center" vertical="center"/>
    </xf>
    <xf numFmtId="0" fontId="0" fillId="0" borderId="51" xfId="0" applyBorder="1" applyAlignment="1">
      <alignment horizontal="center" vertical="center"/>
    </xf>
    <xf numFmtId="0" fontId="0" fillId="0" borderId="8" xfId="0" applyBorder="1" applyAlignment="1">
      <alignment horizontal="center" vertical="center"/>
    </xf>
    <xf numFmtId="0" fontId="0" fillId="0" borderId="52" xfId="0" applyBorder="1" applyAlignment="1">
      <alignment horizontal="center" vertical="center"/>
    </xf>
    <xf numFmtId="0" fontId="11" fillId="0" borderId="5" xfId="0" applyFont="1" applyBorder="1" applyAlignment="1">
      <alignment horizontal="left" wrapText="1"/>
    </xf>
    <xf numFmtId="0" fontId="11" fillId="0" borderId="0" xfId="0" applyFont="1" applyAlignment="1">
      <alignment horizontal="left" wrapText="1"/>
    </xf>
    <xf numFmtId="43" fontId="14" fillId="0" borderId="53" xfId="1" applyFont="1" applyFill="1" applyBorder="1" applyAlignment="1" applyProtection="1">
      <alignment horizontal="center"/>
    </xf>
    <xf numFmtId="43" fontId="14" fillId="0" borderId="64" xfId="1" applyFont="1" applyFill="1" applyBorder="1" applyAlignment="1" applyProtection="1">
      <alignment horizontal="center"/>
    </xf>
    <xf numFmtId="43" fontId="18" fillId="0" borderId="6" xfId="1" applyFont="1" applyFill="1" applyBorder="1" applyAlignment="1">
      <alignment horizontal="center"/>
    </xf>
    <xf numFmtId="43" fontId="18" fillId="0" borderId="27" xfId="1" applyFont="1" applyFill="1" applyBorder="1" applyAlignment="1">
      <alignment horizontal="center"/>
    </xf>
    <xf numFmtId="0" fontId="18" fillId="0" borderId="1" xfId="0" applyFont="1" applyBorder="1" applyAlignment="1">
      <alignment horizontal="center" vertical="center"/>
    </xf>
    <xf numFmtId="0" fontId="18" fillId="0" borderId="1" xfId="0" applyFont="1" applyBorder="1" applyAlignment="1" applyProtection="1">
      <alignment horizontal="center" vertical="center"/>
    </xf>
    <xf numFmtId="0" fontId="17" fillId="0" borderId="3" xfId="0" applyFont="1" applyBorder="1" applyAlignment="1">
      <alignment wrapText="1"/>
    </xf>
    <xf numFmtId="1" fontId="6" fillId="0" borderId="0" xfId="0" applyNumberFormat="1" applyFont="1" applyAlignment="1">
      <alignment horizontal="center"/>
    </xf>
    <xf numFmtId="0" fontId="17" fillId="0" borderId="3" xfId="0" applyFont="1" applyBorder="1" applyAlignment="1" applyProtection="1">
      <alignment wrapText="1"/>
    </xf>
    <xf numFmtId="0" fontId="0" fillId="0" borderId="37" xfId="0" applyBorder="1" applyAlignment="1">
      <alignment horizontal="center" vertical="center"/>
    </xf>
    <xf numFmtId="0" fontId="17" fillId="0" borderId="20" xfId="0" applyFont="1" applyBorder="1" applyAlignment="1">
      <alignment wrapText="1"/>
    </xf>
    <xf numFmtId="49" fontId="24" fillId="0" borderId="0" xfId="0" applyNumberFormat="1" applyFont="1" applyAlignment="1" applyProtection="1">
      <alignment horizontal="center"/>
    </xf>
    <xf numFmtId="49" fontId="7" fillId="0" borderId="0" xfId="0" applyNumberFormat="1" applyFont="1" applyAlignment="1">
      <alignment horizontal="center"/>
    </xf>
    <xf numFmtId="0" fontId="23" fillId="0" borderId="0" xfId="0" applyFont="1" applyAlignment="1">
      <alignment horizontal="center" vertical="center"/>
    </xf>
    <xf numFmtId="49" fontId="25" fillId="0" borderId="0" xfId="0" applyNumberFormat="1" applyFont="1" applyAlignment="1">
      <alignment horizontal="center"/>
    </xf>
    <xf numFmtId="0" fontId="4" fillId="2" borderId="26" xfId="0" applyFont="1" applyFill="1" applyBorder="1" applyAlignment="1" applyProtection="1">
      <alignment horizontal="left"/>
      <protection locked="0"/>
    </xf>
    <xf numFmtId="14" fontId="0" fillId="2" borderId="26" xfId="0" applyNumberFormat="1" applyFill="1" applyBorder="1" applyAlignment="1" applyProtection="1">
      <alignment horizontal="center"/>
      <protection locked="0"/>
    </xf>
    <xf numFmtId="43" fontId="0" fillId="2" borderId="26" xfId="1" applyFont="1" applyFill="1" applyBorder="1" applyAlignment="1" applyProtection="1">
      <alignment horizontal="left"/>
      <protection locked="0"/>
    </xf>
    <xf numFmtId="0" fontId="11" fillId="0" borderId="5" xfId="0" applyFont="1" applyBorder="1" applyAlignment="1" applyProtection="1">
      <alignment horizontal="center"/>
    </xf>
    <xf numFmtId="0" fontId="7" fillId="0" borderId="64" xfId="0" applyFont="1" applyBorder="1" applyAlignment="1" applyProtection="1">
      <alignment horizontal="center" vertical="top"/>
    </xf>
    <xf numFmtId="0" fontId="7" fillId="0" borderId="41" xfId="0" applyFont="1" applyBorder="1" applyAlignment="1" applyProtection="1">
      <alignment horizontal="center" vertical="top"/>
    </xf>
    <xf numFmtId="0" fontId="0" fillId="2" borderId="20" xfId="0" applyFill="1" applyBorder="1" applyAlignment="1" applyProtection="1">
      <alignment horizontal="center"/>
      <protection locked="0"/>
    </xf>
    <xf numFmtId="0" fontId="0" fillId="0" borderId="15" xfId="0" applyBorder="1" applyAlignment="1" applyProtection="1">
      <alignment horizontal="center"/>
    </xf>
    <xf numFmtId="0" fontId="0" fillId="2" borderId="18" xfId="0" applyFill="1" applyBorder="1" applyAlignment="1" applyProtection="1">
      <alignment horizontal="center"/>
      <protection locked="0"/>
    </xf>
    <xf numFmtId="0" fontId="0" fillId="2" borderId="19" xfId="0" applyFill="1" applyBorder="1" applyAlignment="1" applyProtection="1">
      <alignment horizontal="center"/>
      <protection locked="0"/>
    </xf>
    <xf numFmtId="0" fontId="0" fillId="2" borderId="3" xfId="0" quotePrefix="1" applyFill="1" applyBorder="1" applyAlignment="1" applyProtection="1">
      <alignment horizontal="center"/>
      <protection locked="0"/>
    </xf>
    <xf numFmtId="0" fontId="0" fillId="2" borderId="29" xfId="0" applyFill="1" applyBorder="1" applyAlignment="1" applyProtection="1">
      <alignment horizontal="center"/>
      <protection locked="0"/>
    </xf>
    <xf numFmtId="43" fontId="0" fillId="2" borderId="29" xfId="1" applyFont="1" applyFill="1" applyBorder="1" applyAlignment="1" applyProtection="1">
      <alignment horizontal="right"/>
      <protection locked="0"/>
    </xf>
    <xf numFmtId="43" fontId="0" fillId="2" borderId="20" xfId="1" applyFont="1" applyFill="1" applyBorder="1" applyAlignment="1" applyProtection="1">
      <alignment horizontal="right"/>
      <protection locked="0"/>
    </xf>
    <xf numFmtId="0" fontId="7" fillId="0" borderId="8" xfId="0" applyFont="1" applyBorder="1" applyAlignment="1">
      <alignment horizontal="center"/>
    </xf>
    <xf numFmtId="43" fontId="0" fillId="0" borderId="30" xfId="1" applyFont="1" applyBorder="1" applyAlignment="1">
      <alignment horizontal="right"/>
    </xf>
    <xf numFmtId="43" fontId="0" fillId="0" borderId="31" xfId="1" applyFont="1" applyBorder="1" applyAlignment="1">
      <alignment horizontal="right"/>
    </xf>
    <xf numFmtId="0" fontId="0" fillId="2" borderId="28" xfId="0" applyFill="1" applyBorder="1" applyAlignment="1" applyProtection="1">
      <alignment horizontal="center"/>
      <protection locked="0"/>
    </xf>
    <xf numFmtId="43" fontId="0" fillId="2" borderId="28" xfId="1" applyFont="1" applyFill="1" applyBorder="1" applyAlignment="1" applyProtection="1">
      <alignment horizontal="right"/>
      <protection locked="0"/>
    </xf>
    <xf numFmtId="43" fontId="0" fillId="2" borderId="19" xfId="1" applyFont="1" applyFill="1" applyBorder="1" applyAlignment="1" applyProtection="1">
      <alignment horizontal="right"/>
      <protection locked="0"/>
    </xf>
    <xf numFmtId="0" fontId="0" fillId="0" borderId="37" xfId="0" applyBorder="1" applyAlignment="1">
      <alignment horizontal="center" vertical="center" wrapText="1"/>
    </xf>
    <xf numFmtId="0" fontId="0" fillId="0" borderId="49" xfId="0" applyBorder="1" applyAlignment="1">
      <alignment horizontal="center" vertical="center" wrapText="1"/>
    </xf>
    <xf numFmtId="43" fontId="18" fillId="0" borderId="29" xfId="1" applyFont="1" applyBorder="1" applyAlignment="1">
      <alignment horizontal="center"/>
    </xf>
    <xf numFmtId="43" fontId="18" fillId="0" borderId="20" xfId="1" applyFont="1" applyBorder="1" applyAlignment="1">
      <alignment horizontal="center"/>
    </xf>
    <xf numFmtId="43" fontId="18" fillId="0" borderId="83" xfId="1" applyFont="1" applyBorder="1" applyAlignment="1">
      <alignment horizontal="center"/>
    </xf>
    <xf numFmtId="43" fontId="18" fillId="0" borderId="85" xfId="1" applyFont="1" applyBorder="1" applyAlignment="1">
      <alignment horizontal="center"/>
    </xf>
    <xf numFmtId="0" fontId="7" fillId="0" borderId="9" xfId="0" applyFont="1" applyBorder="1" applyAlignment="1">
      <alignment horizontal="center" vertical="center"/>
    </xf>
    <xf numFmtId="0" fontId="7" fillId="0" borderId="51" xfId="0" applyFont="1" applyBorder="1" applyAlignment="1">
      <alignment horizontal="center" vertical="center"/>
    </xf>
    <xf numFmtId="43" fontId="0" fillId="0" borderId="12" xfId="1" applyFont="1" applyBorder="1" applyAlignment="1">
      <alignment horizontal="right"/>
    </xf>
    <xf numFmtId="43" fontId="0" fillId="0" borderId="52" xfId="1" applyFont="1" applyBorder="1" applyAlignment="1">
      <alignment horizontal="right"/>
    </xf>
    <xf numFmtId="0" fontId="7" fillId="0" borderId="8" xfId="0" applyFont="1" applyBorder="1" applyAlignment="1">
      <alignment horizontal="center" vertical="center"/>
    </xf>
    <xf numFmtId="0" fontId="7" fillId="0" borderId="52" xfId="0" applyFont="1" applyBorder="1" applyAlignment="1">
      <alignment horizontal="center" vertical="center"/>
    </xf>
    <xf numFmtId="43" fontId="0" fillId="2" borderId="26" xfId="1" applyFont="1" applyFill="1" applyBorder="1" applyAlignment="1" applyProtection="1">
      <alignment horizontal="right"/>
      <protection locked="0"/>
    </xf>
    <xf numFmtId="43" fontId="0" fillId="2" borderId="88" xfId="1" applyFont="1" applyFill="1" applyBorder="1" applyAlignment="1" applyProtection="1">
      <alignment horizontal="right"/>
      <protection locked="0"/>
    </xf>
    <xf numFmtId="43" fontId="0" fillId="0" borderId="8" xfId="1" applyFont="1" applyBorder="1" applyAlignment="1">
      <alignment horizontal="right"/>
    </xf>
    <xf numFmtId="43" fontId="0" fillId="0" borderId="67" xfId="1" applyFont="1" applyBorder="1" applyAlignment="1">
      <alignment horizontal="right"/>
    </xf>
    <xf numFmtId="0" fontId="0" fillId="0" borderId="1" xfId="0" applyBorder="1" applyAlignment="1">
      <alignment horizontal="center" vertical="center" wrapText="1"/>
    </xf>
    <xf numFmtId="0" fontId="0" fillId="0" borderId="102" xfId="0" applyBorder="1" applyAlignment="1">
      <alignment horizontal="center" vertical="center" wrapText="1"/>
    </xf>
    <xf numFmtId="43" fontId="18" fillId="0" borderId="83" xfId="1" applyFont="1" applyBorder="1" applyAlignment="1" applyProtection="1">
      <alignment horizontal="center"/>
    </xf>
    <xf numFmtId="43" fontId="18" fillId="0" borderId="85" xfId="1" applyFont="1" applyBorder="1" applyAlignment="1" applyProtection="1">
      <alignment horizontal="center"/>
    </xf>
    <xf numFmtId="43" fontId="4" fillId="2" borderId="29" xfId="1" applyFill="1" applyBorder="1" applyAlignment="1" applyProtection="1">
      <alignment horizontal="right"/>
      <protection locked="0"/>
    </xf>
    <xf numFmtId="43" fontId="4" fillId="2" borderId="20" xfId="1" applyFill="1" applyBorder="1" applyAlignment="1" applyProtection="1">
      <alignment horizontal="right"/>
      <protection locked="0"/>
    </xf>
    <xf numFmtId="43" fontId="0" fillId="0" borderId="23" xfId="0" applyNumberFormat="1" applyFill="1" applyBorder="1" applyAlignment="1" applyProtection="1">
      <alignment horizontal="center"/>
    </xf>
    <xf numFmtId="0" fontId="0" fillId="0" borderId="103" xfId="0" applyFill="1" applyBorder="1" applyAlignment="1" applyProtection="1">
      <alignment horizontal="center"/>
    </xf>
    <xf numFmtId="43" fontId="4" fillId="0" borderId="12" xfId="1" applyBorder="1" applyAlignment="1" applyProtection="1">
      <alignment horizontal="right"/>
    </xf>
    <xf numFmtId="43" fontId="4" fillId="0" borderId="52" xfId="1" applyBorder="1" applyAlignment="1" applyProtection="1">
      <alignment horizontal="right"/>
    </xf>
    <xf numFmtId="43" fontId="18" fillId="0" borderId="29" xfId="1" applyFont="1" applyBorder="1" applyAlignment="1" applyProtection="1">
      <alignment horizontal="center"/>
    </xf>
    <xf numFmtId="43" fontId="18" fillId="0" borderId="20" xfId="1" applyFont="1" applyBorder="1" applyAlignment="1" applyProtection="1">
      <alignment horizontal="center"/>
    </xf>
    <xf numFmtId="0" fontId="7" fillId="2" borderId="8" xfId="0" applyFont="1" applyFill="1" applyBorder="1" applyAlignment="1" applyProtection="1">
      <alignment horizontal="center" vertical="center"/>
      <protection locked="0"/>
    </xf>
    <xf numFmtId="0" fontId="7" fillId="2" borderId="52" xfId="0" applyFont="1" applyFill="1" applyBorder="1" applyAlignment="1" applyProtection="1">
      <alignment horizontal="center" vertical="center"/>
      <protection locked="0"/>
    </xf>
    <xf numFmtId="0" fontId="7" fillId="2" borderId="0" xfId="0" applyFont="1" applyFill="1" applyAlignment="1" applyProtection="1">
      <alignment horizontal="center"/>
      <protection locked="0"/>
    </xf>
    <xf numFmtId="0" fontId="0" fillId="0" borderId="37" xfId="0"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02" xfId="0" applyBorder="1" applyAlignment="1" applyProtection="1">
      <alignment horizontal="center" vertical="center" wrapText="1"/>
    </xf>
    <xf numFmtId="0" fontId="0" fillId="0" borderId="37" xfId="0" applyBorder="1" applyAlignment="1" applyProtection="1">
      <alignment horizontal="center" vertical="center"/>
    </xf>
    <xf numFmtId="43" fontId="0" fillId="2" borderId="46" xfId="1" applyFont="1" applyFill="1" applyBorder="1" applyAlignment="1" applyProtection="1">
      <alignment horizontal="right"/>
      <protection locked="0"/>
    </xf>
    <xf numFmtId="43" fontId="0" fillId="2" borderId="51" xfId="1" applyFont="1" applyFill="1" applyBorder="1" applyAlignment="1" applyProtection="1">
      <alignment horizontal="right"/>
      <protection locked="0"/>
    </xf>
    <xf numFmtId="43" fontId="18" fillId="0" borderId="53" xfId="1" applyFont="1" applyBorder="1" applyAlignment="1" applyProtection="1">
      <alignment horizontal="center"/>
    </xf>
    <xf numFmtId="43" fontId="18" fillId="0" borderId="38" xfId="1" applyFont="1" applyBorder="1" applyAlignment="1" applyProtection="1">
      <alignment horizontal="center"/>
    </xf>
    <xf numFmtId="14" fontId="0" fillId="2" borderId="28" xfId="0" applyNumberFormat="1" applyFill="1" applyBorder="1" applyAlignment="1" applyProtection="1">
      <alignment horizontal="center"/>
      <protection locked="0"/>
    </xf>
    <xf numFmtId="0" fontId="0" fillId="2" borderId="3" xfId="0" applyFill="1" applyBorder="1" applyAlignment="1" applyProtection="1">
      <protection locked="0"/>
    </xf>
    <xf numFmtId="0" fontId="0" fillId="2" borderId="20" xfId="0" applyFill="1" applyBorder="1" applyAlignment="1" applyProtection="1">
      <protection locked="0"/>
    </xf>
    <xf numFmtId="43" fontId="4" fillId="0" borderId="8" xfId="1" applyFont="1" applyFill="1" applyBorder="1" applyAlignment="1" applyProtection="1">
      <alignment horizontal="right"/>
    </xf>
    <xf numFmtId="43" fontId="4" fillId="0" borderId="67" xfId="1" applyFill="1" applyBorder="1" applyAlignment="1" applyProtection="1">
      <alignment horizontal="right"/>
    </xf>
    <xf numFmtId="43" fontId="4" fillId="0" borderId="30" xfId="1" applyBorder="1" applyAlignment="1" applyProtection="1">
      <alignment horizontal="right"/>
    </xf>
    <xf numFmtId="43" fontId="4" fillId="0" borderId="31" xfId="1" applyBorder="1" applyAlignment="1" applyProtection="1">
      <alignment horizontal="right"/>
    </xf>
    <xf numFmtId="43" fontId="4" fillId="2" borderId="28" xfId="1" applyFill="1" applyBorder="1" applyAlignment="1" applyProtection="1">
      <alignment horizontal="right"/>
      <protection locked="0"/>
    </xf>
    <xf numFmtId="43" fontId="4" fillId="2" borderId="19" xfId="1" applyFill="1" applyBorder="1" applyAlignment="1" applyProtection="1">
      <alignment horizontal="right"/>
      <protection locked="0"/>
    </xf>
    <xf numFmtId="43" fontId="4" fillId="0" borderId="29" xfId="1" applyBorder="1" applyAlignment="1" applyProtection="1">
      <alignment horizontal="right"/>
    </xf>
    <xf numFmtId="43" fontId="4" fillId="0" borderId="20" xfId="1" applyBorder="1" applyAlignment="1" applyProtection="1">
      <alignment horizontal="right"/>
    </xf>
    <xf numFmtId="0" fontId="12" fillId="0" borderId="8" xfId="0" applyFont="1" applyBorder="1" applyAlignment="1">
      <alignment horizontal="center"/>
    </xf>
    <xf numFmtId="43" fontId="4" fillId="0" borderId="12" xfId="1" applyBorder="1" applyAlignment="1">
      <alignment horizontal="right"/>
    </xf>
    <xf numFmtId="43" fontId="4" fillId="0" borderId="52" xfId="1" applyBorder="1" applyAlignment="1">
      <alignment horizontal="right"/>
    </xf>
    <xf numFmtId="43" fontId="4" fillId="0" borderId="23" xfId="1" applyBorder="1" applyAlignment="1">
      <alignment horizontal="right"/>
    </xf>
    <xf numFmtId="43" fontId="4" fillId="0" borderId="0" xfId="1" applyBorder="1" applyAlignment="1">
      <alignment horizontal="right"/>
    </xf>
    <xf numFmtId="43" fontId="4" fillId="2" borderId="26" xfId="1" applyFill="1" applyBorder="1" applyAlignment="1" applyProtection="1">
      <alignment horizontal="right"/>
      <protection locked="0"/>
    </xf>
    <xf numFmtId="43" fontId="4" fillId="0" borderId="30" xfId="1" applyBorder="1" applyAlignment="1">
      <alignment horizontal="right"/>
    </xf>
    <xf numFmtId="43" fontId="4" fillId="0" borderId="31" xfId="1" applyBorder="1" applyAlignment="1">
      <alignment horizontal="right"/>
    </xf>
    <xf numFmtId="0" fontId="11" fillId="0" borderId="0" xfId="0" applyFont="1" applyAlignment="1">
      <alignment horizontal="center"/>
    </xf>
    <xf numFmtId="49" fontId="0" fillId="2" borderId="3" xfId="0" applyNumberFormat="1" applyFill="1" applyBorder="1" applyAlignment="1" applyProtection="1">
      <alignment horizontal="left"/>
      <protection locked="0"/>
    </xf>
    <xf numFmtId="49" fontId="0" fillId="2" borderId="20" xfId="0" applyNumberFormat="1" applyFill="1" applyBorder="1" applyAlignment="1" applyProtection="1">
      <alignment horizontal="left"/>
      <protection locked="0"/>
    </xf>
    <xf numFmtId="0" fontId="24" fillId="0" borderId="15" xfId="0" applyFont="1" applyBorder="1" applyAlignment="1">
      <alignment horizontal="center" vertical="center" wrapText="1"/>
    </xf>
    <xf numFmtId="0" fontId="24" fillId="0" borderId="21"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41" xfId="0" applyFont="1" applyBorder="1" applyAlignment="1">
      <alignment horizontal="center" vertical="center" wrapText="1"/>
    </xf>
    <xf numFmtId="49" fontId="4" fillId="2" borderId="18" xfId="0" applyNumberFormat="1" applyFont="1" applyFill="1" applyBorder="1" applyAlignment="1" applyProtection="1">
      <alignment horizontal="left"/>
      <protection locked="0"/>
    </xf>
    <xf numFmtId="49" fontId="0" fillId="2" borderId="18" xfId="0" applyNumberFormat="1" applyFill="1" applyBorder="1" applyAlignment="1" applyProtection="1">
      <alignment horizontal="left"/>
      <protection locked="0"/>
    </xf>
    <xf numFmtId="49" fontId="0" fillId="2" borderId="19" xfId="0" applyNumberFormat="1" applyFill="1" applyBorder="1" applyAlignment="1" applyProtection="1">
      <alignment horizontal="left"/>
      <protection locked="0"/>
    </xf>
    <xf numFmtId="49" fontId="4" fillId="2" borderId="3" xfId="0" applyNumberFormat="1" applyFont="1" applyFill="1" applyBorder="1" applyAlignment="1" applyProtection="1">
      <alignment horizontal="left"/>
      <protection locked="0"/>
    </xf>
    <xf numFmtId="0" fontId="24" fillId="0" borderId="15" xfId="0" applyFont="1" applyBorder="1" applyAlignment="1" applyProtection="1">
      <alignment horizontal="center" vertical="center" wrapText="1"/>
    </xf>
    <xf numFmtId="0" fontId="24" fillId="0" borderId="21" xfId="0" applyFont="1" applyBorder="1" applyAlignment="1" applyProtection="1">
      <alignment horizontal="center" vertical="center" wrapText="1"/>
    </xf>
    <xf numFmtId="0" fontId="14" fillId="0" borderId="64" xfId="0" applyFont="1" applyBorder="1" applyAlignment="1" applyProtection="1">
      <alignment horizontal="center" vertical="center" wrapText="1"/>
    </xf>
    <xf numFmtId="0" fontId="14" fillId="0" borderId="41" xfId="0" applyFont="1" applyBorder="1" applyAlignment="1" applyProtection="1">
      <alignment horizontal="center" vertical="center" wrapText="1"/>
    </xf>
    <xf numFmtId="0" fontId="0" fillId="2" borderId="18" xfId="0" applyFill="1" applyBorder="1" applyAlignment="1" applyProtection="1">
      <alignment horizontal="left"/>
      <protection locked="0"/>
    </xf>
    <xf numFmtId="0" fontId="0" fillId="2" borderId="19" xfId="0" applyFill="1" applyBorder="1" applyAlignment="1" applyProtection="1">
      <alignment horizontal="left"/>
      <protection locked="0"/>
    </xf>
    <xf numFmtId="0" fontId="0" fillId="0" borderId="0" xfId="0" applyBorder="1" applyAlignment="1">
      <alignment horizontal="center"/>
    </xf>
    <xf numFmtId="0" fontId="24" fillId="0" borderId="66" xfId="0" applyFont="1" applyBorder="1" applyAlignment="1">
      <alignment horizontal="center" vertical="center" wrapText="1"/>
    </xf>
    <xf numFmtId="0" fontId="14" fillId="0" borderId="88" xfId="0" applyFont="1" applyBorder="1" applyAlignment="1">
      <alignment horizontal="center" vertical="center" wrapText="1"/>
    </xf>
    <xf numFmtId="0" fontId="0" fillId="0" borderId="46"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64" xfId="0" applyBorder="1" applyAlignment="1">
      <alignment horizontal="center" vertical="center"/>
    </xf>
    <xf numFmtId="0" fontId="0" fillId="0" borderId="41"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88" xfId="0" applyBorder="1" applyAlignment="1">
      <alignment horizontal="center" vertical="center"/>
    </xf>
    <xf numFmtId="49" fontId="0" fillId="2" borderId="3" xfId="0" applyNumberFormat="1" applyFill="1" applyBorder="1" applyAlignment="1" applyProtection="1">
      <alignment horizontal="left"/>
    </xf>
    <xf numFmtId="49" fontId="0" fillId="2" borderId="20" xfId="0" applyNumberFormat="1" applyFill="1" applyBorder="1" applyAlignment="1" applyProtection="1">
      <alignment horizontal="left"/>
    </xf>
    <xf numFmtId="43" fontId="0" fillId="2" borderId="53" xfId="1" applyFont="1" applyFill="1" applyBorder="1" applyAlignment="1" applyProtection="1">
      <alignment horizontal="center"/>
      <protection locked="0"/>
    </xf>
    <xf numFmtId="43" fontId="0" fillId="2" borderId="64" xfId="1" applyFont="1" applyFill="1" applyBorder="1" applyAlignment="1" applyProtection="1">
      <alignment horizontal="center"/>
      <protection locked="0"/>
    </xf>
    <xf numFmtId="43" fontId="18" fillId="0" borderId="6" xfId="1" applyFont="1" applyBorder="1" applyAlignment="1">
      <alignment horizontal="center"/>
    </xf>
    <xf numFmtId="43" fontId="18" fillId="0" borderId="27" xfId="1" applyFont="1" applyBorder="1" applyAlignment="1">
      <alignment horizontal="center"/>
    </xf>
    <xf numFmtId="1" fontId="7" fillId="0" borderId="0" xfId="0" applyNumberFormat="1" applyFont="1" applyAlignment="1">
      <alignment horizontal="center"/>
    </xf>
    <xf numFmtId="43" fontId="0" fillId="0" borderId="26" xfId="1" applyFont="1" applyBorder="1" applyAlignment="1" applyProtection="1">
      <alignment horizontal="center"/>
    </xf>
    <xf numFmtId="43" fontId="0" fillId="0" borderId="3" xfId="1" applyFont="1" applyBorder="1" applyAlignment="1" applyProtection="1">
      <alignment horizontal="center"/>
    </xf>
    <xf numFmtId="43" fontId="0" fillId="3" borderId="26" xfId="1" applyFont="1" applyFill="1" applyBorder="1" applyAlignment="1" applyProtection="1">
      <alignment horizontal="center"/>
    </xf>
    <xf numFmtId="0" fontId="31" fillId="0" borderId="0" xfId="0" applyFont="1" applyAlignment="1">
      <alignment horizontal="center"/>
    </xf>
    <xf numFmtId="0" fontId="32" fillId="0" borderId="0" xfId="0" applyFont="1" applyAlignment="1">
      <alignment horizontal="center"/>
    </xf>
    <xf numFmtId="0" fontId="35" fillId="0" borderId="0" xfId="0" applyFont="1" applyAlignment="1">
      <alignment horizontal="center"/>
    </xf>
    <xf numFmtId="0" fontId="8" fillId="0" borderId="0" xfId="19" applyFont="1" applyFill="1" applyAlignment="1" applyProtection="1">
      <alignment horizontal="center"/>
    </xf>
    <xf numFmtId="0" fontId="6" fillId="0" borderId="0" xfId="19" applyFont="1" applyFill="1" applyAlignment="1" applyProtection="1">
      <alignment horizontal="center"/>
    </xf>
    <xf numFmtId="14" fontId="7" fillId="0" borderId="0" xfId="19" applyNumberFormat="1" applyFont="1" applyFill="1" applyAlignment="1" applyProtection="1">
      <alignment horizontal="center"/>
    </xf>
    <xf numFmtId="0" fontId="7" fillId="0" borderId="0" xfId="19" applyFont="1" applyFill="1" applyAlignment="1" applyProtection="1">
      <alignment horizontal="center"/>
    </xf>
    <xf numFmtId="0" fontId="4" fillId="0" borderId="1" xfId="19" applyFill="1" applyBorder="1" applyAlignment="1" applyProtection="1">
      <alignment horizontal="center" vertical="center"/>
    </xf>
    <xf numFmtId="0" fontId="4" fillId="0" borderId="49" xfId="19" applyFill="1" applyBorder="1" applyAlignment="1" applyProtection="1">
      <alignment horizontal="center" vertical="center"/>
    </xf>
    <xf numFmtId="0" fontId="4" fillId="0" borderId="0" xfId="19" applyFill="1" applyAlignment="1">
      <alignment horizontal="center"/>
    </xf>
    <xf numFmtId="0" fontId="24" fillId="0" borderId="0" xfId="19" applyFont="1" applyFill="1" applyAlignment="1">
      <alignment horizontal="center"/>
    </xf>
    <xf numFmtId="0" fontId="25" fillId="0" borderId="0" xfId="19" applyFont="1" applyFill="1" applyAlignment="1" applyProtection="1">
      <alignment horizontal="center"/>
    </xf>
    <xf numFmtId="0" fontId="17" fillId="0" borderId="0" xfId="19" applyFont="1" applyFill="1" applyAlignment="1" applyProtection="1">
      <alignment horizontal="center"/>
    </xf>
    <xf numFmtId="0" fontId="36" fillId="0" borderId="8" xfId="19" applyFont="1" applyFill="1" applyBorder="1" applyAlignment="1" applyProtection="1">
      <alignment horizontal="center" vertical="top"/>
    </xf>
    <xf numFmtId="0" fontId="8" fillId="0" borderId="0" xfId="19" applyFont="1" applyFill="1" applyAlignment="1">
      <alignment horizontal="center"/>
    </xf>
    <xf numFmtId="0" fontId="6" fillId="0" borderId="0" xfId="19" applyFont="1" applyFill="1" applyAlignment="1">
      <alignment horizontal="center"/>
    </xf>
    <xf numFmtId="14" fontId="7" fillId="0" borderId="0" xfId="19" applyNumberFormat="1" applyFont="1" applyFill="1" applyAlignment="1">
      <alignment horizontal="center"/>
    </xf>
    <xf numFmtId="0" fontId="7" fillId="0" borderId="0" xfId="19" applyFont="1" applyFill="1" applyAlignment="1">
      <alignment horizontal="center"/>
    </xf>
    <xf numFmtId="0" fontId="25" fillId="0" borderId="0" xfId="19" applyFont="1" applyFill="1" applyAlignment="1">
      <alignment horizontal="center"/>
    </xf>
    <xf numFmtId="0" fontId="17" fillId="0" borderId="0" xfId="19" applyFont="1" applyFill="1" applyAlignment="1">
      <alignment horizontal="center"/>
    </xf>
    <xf numFmtId="0" fontId="36" fillId="0" borderId="8" xfId="19" applyFont="1" applyFill="1" applyBorder="1" applyAlignment="1">
      <alignment horizontal="center" vertical="top"/>
    </xf>
    <xf numFmtId="0" fontId="4" fillId="0" borderId="1" xfId="19" applyFill="1" applyBorder="1" applyAlignment="1">
      <alignment horizontal="center" vertical="center"/>
    </xf>
    <xf numFmtId="0" fontId="4" fillId="0" borderId="49" xfId="19" applyFill="1" applyBorder="1" applyAlignment="1">
      <alignment horizontal="center" vertical="center"/>
    </xf>
    <xf numFmtId="0" fontId="4" fillId="0" borderId="5" xfId="19" applyFill="1" applyBorder="1" applyAlignment="1">
      <alignment horizontal="center"/>
    </xf>
    <xf numFmtId="0" fontId="4" fillId="0" borderId="0" xfId="19" applyFill="1" applyBorder="1" applyAlignment="1">
      <alignment horizontal="center"/>
    </xf>
    <xf numFmtId="0" fontId="24" fillId="0" borderId="0" xfId="19" applyFont="1" applyAlignment="1" applyProtection="1">
      <alignment horizontal="center"/>
    </xf>
    <xf numFmtId="0" fontId="37" fillId="0" borderId="0" xfId="19" applyFont="1" applyAlignment="1" applyProtection="1">
      <alignment horizontal="center"/>
    </xf>
    <xf numFmtId="0" fontId="6" fillId="0" borderId="0" xfId="19" applyFont="1" applyAlignment="1" applyProtection="1">
      <alignment horizontal="center"/>
    </xf>
    <xf numFmtId="0" fontId="7" fillId="0" borderId="0" xfId="19" applyFont="1" applyAlignment="1" applyProtection="1">
      <alignment horizontal="center"/>
    </xf>
    <xf numFmtId="14" fontId="7" fillId="0" borderId="0" xfId="19" applyNumberFormat="1" applyFont="1" applyAlignment="1" applyProtection="1">
      <alignment horizontal="center"/>
    </xf>
    <xf numFmtId="0" fontId="4" fillId="0" borderId="1" xfId="19" applyBorder="1" applyAlignment="1" applyProtection="1">
      <alignment horizontal="center" vertical="center"/>
    </xf>
    <xf numFmtId="0" fontId="4" fillId="0" borderId="49" xfId="19" applyBorder="1" applyAlignment="1" applyProtection="1">
      <alignment horizontal="center" vertical="center"/>
    </xf>
    <xf numFmtId="0" fontId="4" fillId="0" borderId="0" xfId="19" applyAlignment="1" applyProtection="1">
      <alignment horizontal="center"/>
    </xf>
    <xf numFmtId="0" fontId="13" fillId="0" borderId="0" xfId="19" applyFont="1" applyFill="1" applyAlignment="1" applyProtection="1">
      <alignment horizontal="center"/>
    </xf>
    <xf numFmtId="0" fontId="7" fillId="0" borderId="64" xfId="19" applyFont="1" applyBorder="1" applyAlignment="1" applyProtection="1">
      <alignment horizontal="center" vertical="top"/>
    </xf>
    <xf numFmtId="0" fontId="7" fillId="0" borderId="26" xfId="19" applyFont="1" applyBorder="1" applyAlignment="1" applyProtection="1">
      <alignment horizontal="center" vertical="top"/>
    </xf>
    <xf numFmtId="0" fontId="7" fillId="0" borderId="41" xfId="19" applyFont="1" applyBorder="1" applyAlignment="1" applyProtection="1">
      <alignment horizontal="center" vertical="top"/>
    </xf>
    <xf numFmtId="0" fontId="24" fillId="0" borderId="0" xfId="19" applyFont="1" applyAlignment="1">
      <alignment horizontal="center" vertical="center" textRotation="180" wrapText="1"/>
    </xf>
    <xf numFmtId="0" fontId="4" fillId="0" borderId="9" xfId="19" applyFill="1" applyBorder="1" applyAlignment="1">
      <alignment horizontal="center" vertical="center"/>
    </xf>
    <xf numFmtId="0" fontId="4" fillId="0" borderId="51" xfId="19" applyFill="1" applyBorder="1" applyAlignment="1">
      <alignment horizontal="center" vertical="center"/>
    </xf>
    <xf numFmtId="0" fontId="4" fillId="0" borderId="8" xfId="19" applyFill="1" applyBorder="1" applyAlignment="1">
      <alignment horizontal="center" vertical="center"/>
    </xf>
    <xf numFmtId="0" fontId="4" fillId="0" borderId="52" xfId="19" applyFill="1" applyBorder="1" applyAlignment="1">
      <alignment horizontal="center" vertical="center"/>
    </xf>
    <xf numFmtId="0" fontId="25" fillId="0" borderId="8" xfId="19" applyFont="1" applyFill="1" applyBorder="1" applyAlignment="1">
      <alignment horizontal="center"/>
    </xf>
    <xf numFmtId="0" fontId="17" fillId="0" borderId="3" xfId="19" applyFont="1" applyFill="1" applyBorder="1" applyAlignment="1" applyProtection="1">
      <alignment wrapText="1"/>
    </xf>
    <xf numFmtId="0" fontId="4" fillId="0" borderId="20" xfId="19" applyFill="1" applyBorder="1" applyAlignment="1" applyProtection="1">
      <alignment wrapText="1"/>
    </xf>
    <xf numFmtId="0" fontId="4" fillId="0" borderId="5" xfId="19" applyFill="1" applyBorder="1" applyAlignment="1" applyProtection="1">
      <alignment vertical="center"/>
    </xf>
    <xf numFmtId="0" fontId="4" fillId="0" borderId="26" xfId="19" applyFill="1" applyBorder="1" applyAlignment="1" applyProtection="1">
      <alignment vertical="center"/>
    </xf>
    <xf numFmtId="0" fontId="4" fillId="0" borderId="0" xfId="19" applyFill="1" applyBorder="1" applyAlignment="1" applyProtection="1">
      <alignment vertical="center"/>
    </xf>
    <xf numFmtId="0" fontId="4" fillId="0" borderId="8" xfId="19" applyFill="1" applyBorder="1" applyAlignment="1" applyProtection="1">
      <alignment vertical="center"/>
    </xf>
    <xf numFmtId="0" fontId="4" fillId="0" borderId="3" xfId="19" applyFont="1" applyFill="1" applyBorder="1" applyAlignment="1" applyProtection="1">
      <alignment wrapText="1"/>
    </xf>
    <xf numFmtId="0" fontId="12" fillId="0" borderId="0" xfId="19" applyFont="1" applyFill="1" applyAlignment="1" applyProtection="1">
      <alignment horizontal="center"/>
    </xf>
    <xf numFmtId="0" fontId="12" fillId="0" borderId="0" xfId="19" applyFont="1" applyFill="1" applyAlignment="1" applyProtection="1">
      <alignment horizontal="center"/>
      <protection locked="0"/>
    </xf>
    <xf numFmtId="43" fontId="4" fillId="2" borderId="6" xfId="1" applyFill="1" applyBorder="1" applyAlignment="1" applyProtection="1">
      <alignment horizontal="center"/>
      <protection locked="0"/>
    </xf>
    <xf numFmtId="43" fontId="4" fillId="2" borderId="27" xfId="1" applyFill="1" applyBorder="1" applyAlignment="1" applyProtection="1">
      <alignment horizontal="center"/>
      <protection locked="0"/>
    </xf>
    <xf numFmtId="0" fontId="18" fillId="0" borderId="53" xfId="19" applyFont="1" applyFill="1" applyBorder="1" applyAlignment="1" applyProtection="1">
      <alignment horizontal="center"/>
    </xf>
    <xf numFmtId="0" fontId="18" fillId="0" borderId="64" xfId="19" applyFont="1" applyFill="1" applyBorder="1" applyAlignment="1" applyProtection="1">
      <alignment horizontal="center"/>
    </xf>
    <xf numFmtId="0" fontId="59" fillId="0" borderId="0" xfId="19" applyFont="1" applyFill="1" applyAlignment="1" applyProtection="1">
      <alignment horizontal="center"/>
    </xf>
    <xf numFmtId="0" fontId="24" fillId="0" borderId="0" xfId="19" applyFont="1" applyAlignment="1">
      <alignment horizontal="center"/>
    </xf>
    <xf numFmtId="49" fontId="24" fillId="0" borderId="0" xfId="19" applyNumberFormat="1" applyFont="1" applyAlignment="1">
      <alignment horizontal="center"/>
    </xf>
    <xf numFmtId="49" fontId="7" fillId="0" borderId="0" xfId="19" applyNumberFormat="1" applyFont="1" applyAlignment="1">
      <alignment horizontal="center"/>
    </xf>
    <xf numFmtId="0" fontId="23" fillId="0" borderId="0" xfId="19" applyFont="1" applyAlignment="1">
      <alignment horizontal="center"/>
    </xf>
    <xf numFmtId="0" fontId="13" fillId="0" borderId="0" xfId="19" applyFont="1" applyAlignment="1">
      <alignment horizontal="center"/>
    </xf>
    <xf numFmtId="0" fontId="23" fillId="0" borderId="0" xfId="19" applyFont="1" applyAlignment="1">
      <alignment horizontal="center" vertical="center"/>
    </xf>
    <xf numFmtId="49" fontId="25" fillId="0" borderId="0" xfId="19" applyNumberFormat="1" applyFont="1" applyAlignment="1">
      <alignment horizontal="center"/>
    </xf>
    <xf numFmtId="0" fontId="18" fillId="0" borderId="0" xfId="19" applyFont="1" applyAlignment="1">
      <alignment horizontal="center"/>
    </xf>
    <xf numFmtId="43" fontId="4" fillId="0" borderId="30" xfId="1" applyFill="1" applyBorder="1" applyAlignment="1" applyProtection="1">
      <alignment horizontal="right"/>
    </xf>
    <xf numFmtId="43" fontId="4" fillId="0" borderId="31" xfId="1" applyFill="1" applyBorder="1" applyAlignment="1" applyProtection="1">
      <alignment horizontal="right"/>
    </xf>
    <xf numFmtId="0" fontId="7" fillId="0" borderId="8" xfId="19" applyFont="1" applyFill="1" applyBorder="1" applyAlignment="1" applyProtection="1">
      <alignment horizontal="center" vertical="center"/>
      <protection locked="0"/>
    </xf>
    <xf numFmtId="0" fontId="7" fillId="0" borderId="52" xfId="19" applyFont="1" applyFill="1" applyBorder="1" applyAlignment="1" applyProtection="1">
      <alignment horizontal="center" vertical="center"/>
      <protection locked="0"/>
    </xf>
    <xf numFmtId="43" fontId="4" fillId="0" borderId="3" xfId="19" applyNumberFormat="1" applyFill="1" applyBorder="1" applyAlignment="1" applyProtection="1">
      <alignment horizontal="center"/>
    </xf>
    <xf numFmtId="0" fontId="4" fillId="0" borderId="3" xfId="19" applyFill="1" applyBorder="1" applyAlignment="1" applyProtection="1">
      <alignment horizontal="center"/>
    </xf>
    <xf numFmtId="0" fontId="4" fillId="2" borderId="29" xfId="19" applyFill="1" applyBorder="1" applyAlignment="1" applyProtection="1">
      <alignment horizontal="center"/>
      <protection locked="0"/>
    </xf>
    <xf numFmtId="0" fontId="4" fillId="2" borderId="20" xfId="19" applyFill="1" applyBorder="1" applyAlignment="1" applyProtection="1">
      <alignment horizontal="center"/>
      <protection locked="0"/>
    </xf>
    <xf numFmtId="14" fontId="4" fillId="2" borderId="28" xfId="19" applyNumberFormat="1" applyFill="1" applyBorder="1" applyAlignment="1" applyProtection="1">
      <alignment horizontal="center"/>
      <protection locked="0"/>
    </xf>
    <xf numFmtId="0" fontId="4" fillId="2" borderId="19" xfId="19" applyFill="1" applyBorder="1" applyAlignment="1" applyProtection="1">
      <alignment horizontal="center"/>
      <protection locked="0"/>
    </xf>
    <xf numFmtId="43" fontId="18" fillId="0" borderId="29" xfId="1" applyFont="1" applyFill="1" applyBorder="1" applyAlignment="1" applyProtection="1">
      <alignment horizontal="center"/>
    </xf>
    <xf numFmtId="43" fontId="18" fillId="0" borderId="20" xfId="1" applyFont="1" applyFill="1" applyBorder="1" applyAlignment="1" applyProtection="1">
      <alignment horizontal="center"/>
    </xf>
    <xf numFmtId="43" fontId="18" fillId="0" borderId="83" xfId="1" applyFont="1" applyFill="1" applyBorder="1" applyAlignment="1" applyProtection="1">
      <alignment horizontal="center"/>
    </xf>
    <xf numFmtId="43" fontId="18" fillId="0" borderId="85" xfId="1" applyFont="1" applyFill="1" applyBorder="1" applyAlignment="1" applyProtection="1">
      <alignment horizontal="center"/>
    </xf>
    <xf numFmtId="0" fontId="4" fillId="0" borderId="1" xfId="19" applyFont="1" applyFill="1" applyBorder="1" applyAlignment="1">
      <alignment horizontal="center" vertical="center" wrapText="1"/>
    </xf>
    <xf numFmtId="0" fontId="4" fillId="0" borderId="1" xfId="19" applyFill="1" applyBorder="1" applyAlignment="1">
      <alignment horizontal="center" vertical="center" wrapText="1"/>
    </xf>
    <xf numFmtId="0" fontId="4" fillId="0" borderId="37" xfId="19" applyFill="1" applyBorder="1" applyAlignment="1">
      <alignment horizontal="center" vertical="center"/>
    </xf>
    <xf numFmtId="43" fontId="4" fillId="0" borderId="12" xfId="1" applyFill="1" applyBorder="1" applyAlignment="1" applyProtection="1">
      <alignment horizontal="right"/>
    </xf>
    <xf numFmtId="43" fontId="4" fillId="0" borderId="52" xfId="1" applyFill="1" applyBorder="1" applyAlignment="1" applyProtection="1">
      <alignment horizontal="right"/>
    </xf>
    <xf numFmtId="43" fontId="4" fillId="0" borderId="29" xfId="1" applyFill="1" applyBorder="1" applyAlignment="1" applyProtection="1">
      <alignment horizontal="right"/>
    </xf>
    <xf numFmtId="43" fontId="4" fillId="0" borderId="20" xfId="1" applyFill="1" applyBorder="1" applyAlignment="1" applyProtection="1">
      <alignment horizontal="right"/>
    </xf>
    <xf numFmtId="0" fontId="4" fillId="0" borderId="37" xfId="19" applyFill="1" applyBorder="1" applyAlignment="1">
      <alignment horizontal="center" vertical="center" wrapText="1"/>
    </xf>
    <xf numFmtId="0" fontId="4" fillId="0" borderId="49" xfId="19" applyFill="1" applyBorder="1" applyAlignment="1">
      <alignment horizontal="center" vertical="center" wrapText="1"/>
    </xf>
    <xf numFmtId="0" fontId="7" fillId="0" borderId="9" xfId="19" applyFont="1" applyFill="1" applyBorder="1" applyAlignment="1">
      <alignment horizontal="center" vertical="center"/>
    </xf>
    <xf numFmtId="0" fontId="7" fillId="0" borderId="51" xfId="19" applyFont="1" applyFill="1" applyBorder="1" applyAlignment="1">
      <alignment horizontal="center" vertical="center"/>
    </xf>
    <xf numFmtId="0" fontId="7" fillId="0" borderId="8" xfId="19" applyFont="1" applyFill="1" applyBorder="1" applyAlignment="1">
      <alignment horizontal="center"/>
    </xf>
    <xf numFmtId="43" fontId="4" fillId="0" borderId="3" xfId="19" applyNumberFormat="1" applyBorder="1" applyAlignment="1">
      <alignment horizontal="center"/>
    </xf>
    <xf numFmtId="0" fontId="4" fillId="0" borderId="3" xfId="19" applyBorder="1" applyAlignment="1">
      <alignment horizontal="center"/>
    </xf>
    <xf numFmtId="0" fontId="4" fillId="2" borderId="28" xfId="19" applyFill="1" applyBorder="1" applyAlignment="1" applyProtection="1">
      <alignment horizontal="center"/>
      <protection locked="0"/>
    </xf>
    <xf numFmtId="0" fontId="13" fillId="0" borderId="0" xfId="19" applyFont="1" applyFill="1" applyAlignment="1">
      <alignment horizontal="center"/>
    </xf>
    <xf numFmtId="0" fontId="7" fillId="0" borderId="0" xfId="19" applyFont="1" applyFill="1" applyAlignment="1" applyProtection="1">
      <alignment horizontal="center"/>
      <protection locked="0"/>
    </xf>
    <xf numFmtId="0" fontId="4" fillId="0" borderId="37" xfId="19" applyBorder="1" applyAlignment="1">
      <alignment horizontal="center" vertical="center"/>
    </xf>
    <xf numFmtId="0" fontId="4" fillId="0" borderId="49" xfId="19" applyBorder="1" applyAlignment="1">
      <alignment horizontal="center" vertical="center"/>
    </xf>
    <xf numFmtId="0" fontId="4" fillId="0" borderId="1" xfId="19" applyBorder="1" applyAlignment="1">
      <alignment horizontal="center" vertical="center"/>
    </xf>
    <xf numFmtId="43" fontId="4" fillId="0" borderId="29" xfId="1" applyBorder="1" applyAlignment="1">
      <alignment horizontal="right"/>
    </xf>
    <xf numFmtId="43" fontId="4" fillId="0" borderId="20" xfId="1" applyBorder="1" applyAlignment="1">
      <alignment horizontal="right"/>
    </xf>
    <xf numFmtId="0" fontId="4" fillId="0" borderId="37" xfId="19" applyBorder="1" applyAlignment="1">
      <alignment horizontal="center" vertical="center" wrapText="1"/>
    </xf>
    <xf numFmtId="0" fontId="4" fillId="0" borderId="49" xfId="19" applyBorder="1" applyAlignment="1">
      <alignment horizontal="center" vertical="center" wrapText="1"/>
    </xf>
    <xf numFmtId="0" fontId="7" fillId="0" borderId="9" xfId="19" applyFont="1" applyBorder="1" applyAlignment="1">
      <alignment horizontal="center" vertical="center"/>
    </xf>
    <xf numFmtId="0" fontId="7" fillId="0" borderId="51" xfId="19" applyFont="1" applyBorder="1" applyAlignment="1">
      <alignment horizontal="center" vertical="center"/>
    </xf>
    <xf numFmtId="0" fontId="18" fillId="0" borderId="89" xfId="19" applyFont="1" applyFill="1" applyBorder="1" applyAlignment="1" applyProtection="1">
      <alignment horizontal="center"/>
    </xf>
    <xf numFmtId="0" fontId="18" fillId="0" borderId="90" xfId="19" applyFont="1" applyFill="1" applyBorder="1" applyAlignment="1" applyProtection="1">
      <alignment horizontal="center"/>
    </xf>
    <xf numFmtId="0" fontId="18" fillId="0" borderId="91" xfId="19" applyFont="1" applyFill="1" applyBorder="1" applyAlignment="1" applyProtection="1">
      <alignment horizontal="center"/>
    </xf>
    <xf numFmtId="0" fontId="24" fillId="0" borderId="0" xfId="19" applyFont="1" applyFill="1" applyAlignment="1">
      <alignment horizontal="center" vertical="center" textRotation="180" wrapText="1"/>
    </xf>
    <xf numFmtId="0" fontId="4" fillId="0" borderId="0" xfId="19" applyFill="1" applyAlignment="1" applyProtection="1">
      <alignment horizontal="center"/>
    </xf>
    <xf numFmtId="0" fontId="4" fillId="0" borderId="21" xfId="19" applyFill="1" applyBorder="1" applyAlignment="1" applyProtection="1">
      <alignment horizontal="center"/>
    </xf>
    <xf numFmtId="0" fontId="7" fillId="0" borderId="15" xfId="19" applyFont="1" applyFill="1" applyBorder="1" applyAlignment="1" applyProtection="1">
      <alignment horizontal="center" vertical="center" wrapText="1"/>
    </xf>
    <xf numFmtId="0" fontId="7" fillId="0" borderId="21" xfId="19" applyFont="1" applyFill="1" applyBorder="1" applyAlignment="1" applyProtection="1">
      <alignment horizontal="center" vertical="center" wrapText="1"/>
    </xf>
    <xf numFmtId="0" fontId="4" fillId="0" borderId="64" xfId="19" applyFill="1" applyBorder="1" applyAlignment="1" applyProtection="1">
      <alignment horizontal="center" vertical="center" wrapText="1"/>
    </xf>
    <xf numFmtId="0" fontId="4" fillId="0" borderId="41" xfId="19" applyFill="1" applyBorder="1" applyAlignment="1" applyProtection="1">
      <alignment horizontal="center" vertical="center" wrapText="1"/>
    </xf>
    <xf numFmtId="0" fontId="13" fillId="0" borderId="0" xfId="19" applyFont="1" applyAlignment="1" applyProtection="1">
      <alignment horizontal="center"/>
    </xf>
    <xf numFmtId="0" fontId="4" fillId="0" borderId="21" xfId="19" applyBorder="1" applyAlignment="1" applyProtection="1">
      <alignment horizontal="center"/>
    </xf>
    <xf numFmtId="0" fontId="4" fillId="0" borderId="9" xfId="19" applyFill="1" applyBorder="1" applyAlignment="1" applyProtection="1">
      <alignment horizontal="center"/>
    </xf>
    <xf numFmtId="0" fontId="4" fillId="0" borderId="51" xfId="19" applyFill="1" applyBorder="1" applyAlignment="1" applyProtection="1">
      <alignment horizontal="center"/>
    </xf>
    <xf numFmtId="49" fontId="4" fillId="2" borderId="18" xfId="19" applyNumberFormat="1" applyFill="1" applyBorder="1" applyAlignment="1" applyProtection="1">
      <alignment horizontal="left"/>
      <protection locked="0"/>
    </xf>
    <xf numFmtId="49" fontId="4" fillId="2" borderId="19" xfId="19" applyNumberFormat="1" applyFill="1" applyBorder="1" applyAlignment="1" applyProtection="1">
      <alignment horizontal="left"/>
      <protection locked="0"/>
    </xf>
    <xf numFmtId="49" fontId="4" fillId="2" borderId="3" xfId="19" applyNumberFormat="1" applyFill="1" applyBorder="1" applyAlignment="1" applyProtection="1">
      <alignment horizontal="left"/>
      <protection locked="0"/>
    </xf>
    <xf numFmtId="49" fontId="4" fillId="2" borderId="20" xfId="19" applyNumberFormat="1" applyFill="1" applyBorder="1" applyAlignment="1" applyProtection="1">
      <alignment horizontal="left"/>
      <protection locked="0"/>
    </xf>
    <xf numFmtId="0" fontId="4" fillId="0" borderId="0" xfId="19" applyBorder="1" applyAlignment="1" applyProtection="1">
      <alignment horizontal="center"/>
    </xf>
    <xf numFmtId="0" fontId="7" fillId="0" borderId="0" xfId="19" applyFont="1" applyFill="1" applyBorder="1" applyAlignment="1" applyProtection="1">
      <alignment horizontal="center" vertical="center" wrapText="1"/>
    </xf>
    <xf numFmtId="0" fontId="7" fillId="0" borderId="64" xfId="19" applyFont="1" applyFill="1" applyBorder="1" applyAlignment="1" applyProtection="1">
      <alignment horizontal="center" vertical="center" wrapText="1"/>
    </xf>
    <xf numFmtId="0" fontId="7" fillId="0" borderId="26" xfId="19" applyFont="1" applyFill="1" applyBorder="1" applyAlignment="1" applyProtection="1">
      <alignment horizontal="center" vertical="center" wrapText="1"/>
    </xf>
    <xf numFmtId="49" fontId="4" fillId="2" borderId="18" xfId="19" applyNumberFormat="1" applyFill="1" applyBorder="1" applyAlignment="1" applyProtection="1">
      <alignment horizontal="center"/>
      <protection locked="0"/>
    </xf>
    <xf numFmtId="49" fontId="4" fillId="2" borderId="19" xfId="19" applyNumberFormat="1" applyFill="1" applyBorder="1" applyAlignment="1" applyProtection="1">
      <alignment horizontal="center"/>
      <protection locked="0"/>
    </xf>
    <xf numFmtId="0" fontId="4" fillId="0" borderId="46" xfId="19" applyFill="1" applyBorder="1" applyAlignment="1" applyProtection="1">
      <alignment horizontal="center" vertical="center"/>
    </xf>
    <xf numFmtId="0" fontId="4" fillId="0" borderId="51" xfId="19" applyFill="1" applyBorder="1" applyAlignment="1" applyProtection="1">
      <alignment horizontal="center" vertical="center"/>
    </xf>
    <xf numFmtId="0" fontId="4" fillId="0" borderId="15" xfId="19" applyFill="1" applyBorder="1" applyAlignment="1" applyProtection="1">
      <alignment horizontal="center" vertical="center"/>
    </xf>
    <xf numFmtId="0" fontId="4" fillId="0" borderId="21" xfId="19" applyFill="1" applyBorder="1" applyAlignment="1" applyProtection="1">
      <alignment horizontal="center" vertical="center"/>
    </xf>
    <xf numFmtId="0" fontId="4" fillId="0" borderId="64" xfId="19" applyFill="1" applyBorder="1" applyAlignment="1" applyProtection="1">
      <alignment horizontal="center" vertical="center"/>
    </xf>
    <xf numFmtId="0" fontId="4" fillId="0" borderId="41" xfId="19" applyFill="1" applyBorder="1" applyAlignment="1" applyProtection="1">
      <alignment horizontal="center" vertical="center"/>
    </xf>
    <xf numFmtId="0" fontId="4" fillId="0" borderId="46" xfId="19" applyBorder="1" applyAlignment="1" applyProtection="1">
      <alignment horizontal="center" vertical="center"/>
    </xf>
    <xf numFmtId="0" fontId="4" fillId="0" borderId="65" xfId="19" applyBorder="1" applyAlignment="1" applyProtection="1">
      <alignment horizontal="center" vertical="center"/>
    </xf>
    <xf numFmtId="0" fontId="4" fillId="0" borderId="15" xfId="19" applyBorder="1" applyAlignment="1" applyProtection="1">
      <alignment horizontal="center" vertical="center"/>
    </xf>
    <xf numFmtId="0" fontId="4" fillId="0" borderId="66" xfId="19" applyBorder="1" applyAlignment="1" applyProtection="1">
      <alignment horizontal="center" vertical="center"/>
    </xf>
    <xf numFmtId="0" fontId="4" fillId="0" borderId="64" xfId="19" applyBorder="1" applyAlignment="1" applyProtection="1">
      <alignment horizontal="center" vertical="center"/>
    </xf>
    <xf numFmtId="0" fontId="4" fillId="0" borderId="88" xfId="19" applyBorder="1" applyAlignment="1" applyProtection="1">
      <alignment horizontal="center" vertical="center"/>
    </xf>
    <xf numFmtId="0" fontId="4" fillId="3" borderId="46" xfId="19" applyFill="1" applyBorder="1" applyAlignment="1" applyProtection="1">
      <alignment horizontal="center" vertical="center"/>
    </xf>
    <xf numFmtId="0" fontId="4" fillId="3" borderId="51" xfId="19" applyFill="1" applyBorder="1" applyAlignment="1" applyProtection="1">
      <alignment horizontal="center" vertical="center"/>
    </xf>
    <xf numFmtId="0" fontId="4" fillId="3" borderId="15" xfId="19" applyFill="1" applyBorder="1" applyAlignment="1" applyProtection="1">
      <alignment horizontal="center" vertical="center"/>
    </xf>
    <xf numFmtId="0" fontId="4" fillId="3" borderId="21" xfId="19" applyFill="1" applyBorder="1" applyAlignment="1" applyProtection="1">
      <alignment horizontal="center" vertical="center"/>
    </xf>
    <xf numFmtId="0" fontId="4" fillId="3" borderId="64" xfId="19" applyFill="1" applyBorder="1" applyAlignment="1" applyProtection="1">
      <alignment horizontal="center" vertical="center"/>
    </xf>
    <xf numFmtId="0" fontId="4" fillId="3" borderId="41" xfId="19" applyFill="1" applyBorder="1" applyAlignment="1" applyProtection="1">
      <alignment horizontal="center" vertical="center"/>
    </xf>
    <xf numFmtId="0" fontId="6" fillId="0" borderId="0" xfId="19" applyFont="1" applyFill="1" applyAlignment="1" applyProtection="1">
      <alignment horizontal="center"/>
      <protection locked="0"/>
    </xf>
    <xf numFmtId="0" fontId="7" fillId="0" borderId="0" xfId="19" applyFont="1" applyAlignment="1">
      <alignment horizontal="center"/>
    </xf>
    <xf numFmtId="43" fontId="4" fillId="2" borderId="53" xfId="1" applyFill="1" applyBorder="1" applyAlignment="1" applyProtection="1">
      <alignment horizontal="center"/>
      <protection locked="0"/>
    </xf>
    <xf numFmtId="43" fontId="4" fillId="2" borderId="64" xfId="1" applyFill="1" applyBorder="1" applyAlignment="1" applyProtection="1">
      <alignment horizontal="center"/>
      <protection locked="0"/>
    </xf>
    <xf numFmtId="43" fontId="18" fillId="0" borderId="6" xfId="1" applyFont="1" applyBorder="1" applyAlignment="1" applyProtection="1">
      <alignment horizontal="center"/>
    </xf>
    <xf numFmtId="43" fontId="18" fillId="0" borderId="27" xfId="1" applyFont="1" applyBorder="1" applyAlignment="1" applyProtection="1">
      <alignment horizontal="center"/>
    </xf>
    <xf numFmtId="0" fontId="38" fillId="0" borderId="0" xfId="19" applyFont="1" applyFill="1" applyAlignment="1" applyProtection="1">
      <alignment horizontal="center"/>
      <protection locked="0"/>
    </xf>
    <xf numFmtId="0" fontId="12" fillId="0" borderId="0" xfId="19" applyFont="1" applyFill="1" applyAlignment="1">
      <alignment horizontal="center"/>
    </xf>
    <xf numFmtId="0" fontId="25" fillId="0" borderId="0" xfId="19" applyFont="1" applyFill="1" applyAlignment="1" applyProtection="1">
      <alignment horizontal="center"/>
      <protection locked="0"/>
    </xf>
    <xf numFmtId="0" fontId="8" fillId="0" borderId="0" xfId="19" applyFont="1" applyFill="1" applyAlignment="1" applyProtection="1">
      <alignment horizontal="center"/>
      <protection locked="0"/>
    </xf>
    <xf numFmtId="14" fontId="7" fillId="0" borderId="0" xfId="19" applyNumberFormat="1" applyFont="1" applyFill="1" applyAlignment="1" applyProtection="1">
      <alignment horizontal="center"/>
      <protection locked="0"/>
    </xf>
    <xf numFmtId="0" fontId="17" fillId="0" borderId="0" xfId="19" applyFont="1" applyFill="1" applyAlignment="1" applyProtection="1">
      <alignment horizontal="center"/>
      <protection locked="0"/>
    </xf>
    <xf numFmtId="0" fontId="36" fillId="0" borderId="8" xfId="19" applyFont="1" applyFill="1" applyBorder="1" applyAlignment="1" applyProtection="1">
      <alignment horizontal="center" vertical="top"/>
      <protection locked="0"/>
    </xf>
    <xf numFmtId="0" fontId="4" fillId="0" borderId="1" xfId="19" applyFill="1" applyBorder="1" applyAlignment="1" applyProtection="1">
      <alignment horizontal="center" vertical="center"/>
      <protection locked="0"/>
    </xf>
    <xf numFmtId="0" fontId="4" fillId="0" borderId="49" xfId="19" applyFill="1" applyBorder="1" applyAlignment="1" applyProtection="1">
      <alignment horizontal="center" vertical="center"/>
      <protection locked="0"/>
    </xf>
    <xf numFmtId="0" fontId="4" fillId="0" borderId="5" xfId="19" applyFill="1" applyBorder="1" applyAlignment="1" applyProtection="1">
      <alignment horizontal="center"/>
    </xf>
    <xf numFmtId="0" fontId="4" fillId="0" borderId="0" xfId="19" applyFill="1" applyBorder="1" applyAlignment="1" applyProtection="1">
      <alignment horizontal="center"/>
    </xf>
    <xf numFmtId="0" fontId="25" fillId="0" borderId="8" xfId="19" applyFont="1" applyFill="1" applyBorder="1" applyAlignment="1" applyProtection="1">
      <alignment horizontal="center"/>
    </xf>
    <xf numFmtId="0" fontId="4" fillId="0" borderId="9" xfId="19" applyFill="1" applyBorder="1" applyAlignment="1" applyProtection="1">
      <alignment horizontal="center" vertical="center"/>
    </xf>
    <xf numFmtId="0" fontId="4" fillId="0" borderId="8" xfId="19" applyFill="1" applyBorder="1" applyAlignment="1" applyProtection="1">
      <alignment horizontal="center" vertical="center"/>
    </xf>
    <xf numFmtId="0" fontId="4" fillId="0" borderId="52" xfId="19" applyFill="1" applyBorder="1" applyAlignment="1" applyProtection="1">
      <alignment horizontal="center" vertical="center"/>
    </xf>
    <xf numFmtId="43" fontId="18" fillId="0" borderId="53" xfId="19" applyNumberFormat="1" applyFont="1" applyFill="1" applyBorder="1" applyAlignment="1" applyProtection="1">
      <alignment horizontal="center"/>
    </xf>
    <xf numFmtId="43" fontId="18" fillId="0" borderId="64" xfId="19" applyNumberFormat="1" applyFont="1" applyFill="1" applyBorder="1" applyAlignment="1" applyProtection="1">
      <alignment horizontal="center"/>
    </xf>
    <xf numFmtId="43" fontId="4" fillId="2" borderId="6" xfId="1" applyNumberFormat="1" applyFill="1" applyBorder="1" applyAlignment="1" applyProtection="1">
      <alignment horizontal="center"/>
      <protection locked="0"/>
    </xf>
    <xf numFmtId="43" fontId="4" fillId="2" borderId="27" xfId="1" applyNumberFormat="1" applyFill="1" applyBorder="1" applyAlignment="1" applyProtection="1">
      <alignment horizontal="center"/>
      <protection locked="0"/>
    </xf>
    <xf numFmtId="49" fontId="7" fillId="0" borderId="0" xfId="19" applyNumberFormat="1" applyFont="1" applyAlignment="1" applyProtection="1">
      <alignment horizontal="center"/>
    </xf>
    <xf numFmtId="49" fontId="25" fillId="0" borderId="0" xfId="19" applyNumberFormat="1" applyFont="1" applyAlignment="1" applyProtection="1">
      <alignment horizontal="center"/>
    </xf>
    <xf numFmtId="0" fontId="18" fillId="0" borderId="0" xfId="19" applyFont="1" applyAlignment="1" applyProtection="1">
      <alignment horizontal="center"/>
    </xf>
    <xf numFmtId="0" fontId="23" fillId="0" borderId="0" xfId="19" applyFont="1" applyAlignment="1" applyProtection="1">
      <alignment horizontal="center"/>
    </xf>
    <xf numFmtId="0" fontId="23" fillId="0" borderId="0" xfId="19" applyFont="1" applyAlignment="1" applyProtection="1">
      <alignment horizontal="center" vertical="center"/>
    </xf>
    <xf numFmtId="0" fontId="4" fillId="0" borderId="37" xfId="19" applyFill="1" applyBorder="1" applyAlignment="1" applyProtection="1">
      <alignment horizontal="center" vertical="center"/>
    </xf>
    <xf numFmtId="0" fontId="4" fillId="0" borderId="1" xfId="19" applyFont="1" applyFill="1" applyBorder="1" applyAlignment="1" applyProtection="1">
      <alignment horizontal="center" vertical="center" wrapText="1"/>
    </xf>
    <xf numFmtId="0" fontId="4" fillId="0" borderId="1" xfId="19" applyFill="1" applyBorder="1" applyAlignment="1" applyProtection="1">
      <alignment horizontal="center" vertical="center" wrapText="1"/>
    </xf>
    <xf numFmtId="0" fontId="7" fillId="0" borderId="8" xfId="19" applyFont="1" applyFill="1" applyBorder="1" applyAlignment="1" applyProtection="1">
      <alignment horizontal="center" vertical="center"/>
    </xf>
    <xf numFmtId="0" fontId="7" fillId="0" borderId="52" xfId="19" applyFont="1" applyFill="1" applyBorder="1" applyAlignment="1" applyProtection="1">
      <alignment horizontal="center" vertical="center"/>
    </xf>
    <xf numFmtId="0" fontId="4" fillId="0" borderId="37" xfId="19" applyBorder="1" applyAlignment="1" applyProtection="1">
      <alignment horizontal="center" vertical="center"/>
    </xf>
    <xf numFmtId="0" fontId="7" fillId="0" borderId="8" xfId="19" applyFont="1" applyFill="1" applyBorder="1" applyAlignment="1" applyProtection="1">
      <alignment horizontal="center"/>
    </xf>
    <xf numFmtId="43" fontId="4" fillId="0" borderId="3" xfId="19" applyNumberFormat="1" applyBorder="1" applyAlignment="1" applyProtection="1">
      <alignment horizontal="center"/>
    </xf>
    <xf numFmtId="0" fontId="4" fillId="0" borderId="3" xfId="19" applyBorder="1" applyAlignment="1" applyProtection="1">
      <alignment horizontal="center"/>
    </xf>
    <xf numFmtId="0" fontId="4" fillId="0" borderId="37" xfId="19" applyBorder="1" applyAlignment="1" applyProtection="1">
      <alignment horizontal="center" vertical="center" wrapText="1"/>
    </xf>
    <xf numFmtId="0" fontId="4" fillId="0" borderId="49" xfId="19" applyBorder="1" applyAlignment="1" applyProtection="1">
      <alignment horizontal="center" vertical="center" wrapText="1"/>
    </xf>
    <xf numFmtId="0" fontId="4" fillId="0" borderId="9" xfId="19" applyBorder="1" applyAlignment="1" applyProtection="1">
      <alignment horizontal="center"/>
    </xf>
    <xf numFmtId="0" fontId="4" fillId="0" borderId="51" xfId="19" applyBorder="1" applyAlignment="1" applyProtection="1">
      <alignment horizontal="center"/>
    </xf>
    <xf numFmtId="0" fontId="7" fillId="0" borderId="15" xfId="19" applyFont="1" applyBorder="1" applyAlignment="1" applyProtection="1">
      <alignment horizontal="center" vertical="center" wrapText="1"/>
    </xf>
    <xf numFmtId="0" fontId="7" fillId="0" borderId="0" xfId="19" applyFont="1" applyAlignment="1" applyProtection="1">
      <alignment horizontal="center" vertical="center" wrapText="1"/>
    </xf>
    <xf numFmtId="0" fontId="7" fillId="0" borderId="64" xfId="19" applyFont="1" applyBorder="1" applyAlignment="1" applyProtection="1">
      <alignment horizontal="center" vertical="center" wrapText="1"/>
    </xf>
    <xf numFmtId="0" fontId="7" fillId="0" borderId="26" xfId="19" applyFont="1" applyBorder="1" applyAlignment="1" applyProtection="1">
      <alignment horizontal="center" vertical="center" wrapText="1"/>
    </xf>
    <xf numFmtId="0" fontId="38" fillId="0" borderId="0" xfId="19" applyFont="1" applyFill="1" applyAlignment="1" applyProtection="1">
      <alignment horizontal="center"/>
    </xf>
    <xf numFmtId="0" fontId="24" fillId="0" borderId="0" xfId="19" applyFont="1" applyFill="1" applyAlignment="1" applyProtection="1">
      <alignment horizontal="center"/>
    </xf>
    <xf numFmtId="0" fontId="7" fillId="0" borderId="9" xfId="19" applyFont="1" applyFill="1" applyBorder="1" applyAlignment="1" applyProtection="1">
      <alignment horizontal="center" vertical="center"/>
    </xf>
    <xf numFmtId="0" fontId="7" fillId="0" borderId="51" xfId="19" applyFont="1" applyFill="1" applyBorder="1" applyAlignment="1" applyProtection="1">
      <alignment horizontal="center" vertical="center"/>
    </xf>
    <xf numFmtId="0" fontId="4" fillId="0" borderId="37" xfId="19" applyFill="1" applyBorder="1" applyAlignment="1" applyProtection="1">
      <alignment horizontal="center" vertical="center" wrapText="1"/>
    </xf>
    <xf numFmtId="0" fontId="4" fillId="0" borderId="49" xfId="19" applyFill="1" applyBorder="1" applyAlignment="1" applyProtection="1">
      <alignment horizontal="center" vertical="center" wrapText="1"/>
    </xf>
    <xf numFmtId="0" fontId="13" fillId="0" borderId="8" xfId="19" applyFont="1" applyBorder="1" applyAlignment="1" applyProtection="1">
      <alignment horizontal="center"/>
    </xf>
    <xf numFmtId="0" fontId="7" fillId="0" borderId="9" xfId="19" applyFont="1" applyBorder="1" applyAlignment="1" applyProtection="1">
      <alignment horizontal="center" vertical="center"/>
    </xf>
    <xf numFmtId="0" fontId="7" fillId="0" borderId="51" xfId="19" applyFont="1" applyBorder="1" applyAlignment="1" applyProtection="1">
      <alignment horizontal="center" vertical="center"/>
    </xf>
    <xf numFmtId="0" fontId="4" fillId="0" borderId="9" xfId="19" applyBorder="1" applyAlignment="1" applyProtection="1">
      <alignment horizontal="center"/>
      <protection locked="0"/>
    </xf>
    <xf numFmtId="0" fontId="4" fillId="0" borderId="51" xfId="19" applyBorder="1" applyAlignment="1" applyProtection="1">
      <alignment horizontal="center"/>
      <protection locked="0"/>
    </xf>
    <xf numFmtId="0" fontId="7" fillId="0" borderId="15" xfId="19" applyFont="1" applyFill="1" applyBorder="1" applyAlignment="1">
      <alignment horizontal="center" vertical="center" wrapText="1"/>
    </xf>
    <xf numFmtId="0" fontId="7" fillId="0" borderId="21" xfId="19" applyFont="1" applyFill="1" applyBorder="1" applyAlignment="1">
      <alignment horizontal="center" vertical="center" wrapText="1"/>
    </xf>
    <xf numFmtId="0" fontId="4" fillId="0" borderId="64" xfId="19" applyFill="1" applyBorder="1" applyAlignment="1">
      <alignment horizontal="center" vertical="center" wrapText="1"/>
    </xf>
    <xf numFmtId="0" fontId="4" fillId="0" borderId="41" xfId="19" applyFill="1" applyBorder="1" applyAlignment="1">
      <alignment horizontal="center" vertical="center" wrapText="1"/>
    </xf>
    <xf numFmtId="0" fontId="4" fillId="0" borderId="0" xfId="19" applyAlignment="1">
      <alignment horizontal="center"/>
    </xf>
    <xf numFmtId="0" fontId="4" fillId="0" borderId="21" xfId="19" applyBorder="1" applyAlignment="1">
      <alignment horizontal="center"/>
    </xf>
    <xf numFmtId="49" fontId="4" fillId="2" borderId="18" xfId="19" applyNumberFormat="1" applyFill="1" applyBorder="1" applyAlignment="1" applyProtection="1">
      <protection locked="0"/>
    </xf>
    <xf numFmtId="49" fontId="4" fillId="2" borderId="19" xfId="19" applyNumberFormat="1" applyFill="1" applyBorder="1" applyAlignment="1" applyProtection="1">
      <protection locked="0"/>
    </xf>
    <xf numFmtId="49" fontId="4" fillId="2" borderId="3" xfId="19" applyNumberFormat="1" applyFill="1" applyBorder="1" applyAlignment="1" applyProtection="1">
      <protection locked="0"/>
    </xf>
    <xf numFmtId="49" fontId="4" fillId="2" borderId="20" xfId="19" applyNumberFormat="1" applyFill="1" applyBorder="1" applyAlignment="1" applyProtection="1">
      <protection locked="0"/>
    </xf>
    <xf numFmtId="0" fontId="25" fillId="0" borderId="0" xfId="19" applyFont="1" applyAlignment="1" applyProtection="1">
      <alignment horizontal="center"/>
    </xf>
    <xf numFmtId="0" fontId="12" fillId="0" borderId="0" xfId="19" applyFont="1" applyAlignment="1" applyProtection="1">
      <alignment horizontal="center"/>
    </xf>
  </cellXfs>
  <cellStyles count="88">
    <cellStyle name="Comma" xfId="1" builtinId="3"/>
    <cellStyle name="Comma 10" xfId="86" xr:uid="{00000000-0005-0000-0000-000001000000}"/>
    <cellStyle name="Comma 2" xfId="2" xr:uid="{00000000-0005-0000-0000-000002000000}"/>
    <cellStyle name="Comma 2 2" xfId="3" xr:uid="{00000000-0005-0000-0000-000003000000}"/>
    <cellStyle name="Comma 2 2 2" xfId="84" xr:uid="{00000000-0005-0000-0000-000004000000}"/>
    <cellStyle name="Comma 3" xfId="4" xr:uid="{00000000-0005-0000-0000-000005000000}"/>
    <cellStyle name="Comma 3 2" xfId="21" xr:uid="{00000000-0005-0000-0000-000006000000}"/>
    <cellStyle name="Comma 3 3" xfId="53" xr:uid="{00000000-0005-0000-0000-000007000000}"/>
    <cellStyle name="Comma 4" xfId="5" xr:uid="{00000000-0005-0000-0000-000008000000}"/>
    <cellStyle name="Comma 4 2" xfId="22" xr:uid="{00000000-0005-0000-0000-000009000000}"/>
    <cellStyle name="Comma 4 3" xfId="49" xr:uid="{00000000-0005-0000-0000-00000A000000}"/>
    <cellStyle name="Comma 5" xfId="6" xr:uid="{00000000-0005-0000-0000-00000B000000}"/>
    <cellStyle name="Comma 5 2" xfId="23" xr:uid="{00000000-0005-0000-0000-00000C000000}"/>
    <cellStyle name="Comma 5 2 2" xfId="80" xr:uid="{00000000-0005-0000-0000-00000D000000}"/>
    <cellStyle name="Comma 5 3" xfId="45" xr:uid="{00000000-0005-0000-0000-00000E000000}"/>
    <cellStyle name="Comma 5 4" xfId="46" xr:uid="{00000000-0005-0000-0000-00000F000000}"/>
    <cellStyle name="Comma 5 4 2" xfId="79" xr:uid="{00000000-0005-0000-0000-000010000000}"/>
    <cellStyle name="Comma 5 5" xfId="52" xr:uid="{00000000-0005-0000-0000-000011000000}"/>
    <cellStyle name="Comma 6" xfId="20" xr:uid="{00000000-0005-0000-0000-000012000000}"/>
    <cellStyle name="Comma 7" xfId="48" xr:uid="{00000000-0005-0000-0000-000013000000}"/>
    <cellStyle name="Comma 7 2" xfId="78" xr:uid="{00000000-0005-0000-0000-000014000000}"/>
    <cellStyle name="Comma 7 3" xfId="43" xr:uid="{00000000-0005-0000-0000-000015000000}"/>
    <cellStyle name="Comma 8" xfId="44" xr:uid="{00000000-0005-0000-0000-000016000000}"/>
    <cellStyle name="Comma 9" xfId="24" xr:uid="{00000000-0005-0000-0000-000017000000}"/>
    <cellStyle name="Currency 2" xfId="7" xr:uid="{00000000-0005-0000-0000-000018000000}"/>
    <cellStyle name="Currency 2 2" xfId="8" xr:uid="{00000000-0005-0000-0000-000019000000}"/>
    <cellStyle name="Currency 3" xfId="9" xr:uid="{00000000-0005-0000-0000-00001A000000}"/>
    <cellStyle name="Currency 3 2" xfId="26" xr:uid="{00000000-0005-0000-0000-00001B000000}"/>
    <cellStyle name="Currency 4" xfId="27" xr:uid="{00000000-0005-0000-0000-00001C000000}"/>
    <cellStyle name="Currency 4 2" xfId="54" xr:uid="{00000000-0005-0000-0000-00001D000000}"/>
    <cellStyle name="Currency 4 3" xfId="55" xr:uid="{00000000-0005-0000-0000-00001E000000}"/>
    <cellStyle name="Currency 4 3 2" xfId="47" xr:uid="{00000000-0005-0000-0000-00001F000000}"/>
    <cellStyle name="Currency 4 4" xfId="58" xr:uid="{00000000-0005-0000-0000-000020000000}"/>
    <cellStyle name="Currency 5" xfId="25" xr:uid="{00000000-0005-0000-0000-000021000000}"/>
    <cellStyle name="Currency 5 2" xfId="59" xr:uid="{00000000-0005-0000-0000-000022000000}"/>
    <cellStyle name="Currency 6" xfId="56" xr:uid="{00000000-0005-0000-0000-000023000000}"/>
    <cellStyle name="Currency 6 2" xfId="51" xr:uid="{00000000-0005-0000-0000-000024000000}"/>
    <cellStyle name="Currency 7" xfId="50" xr:uid="{00000000-0005-0000-0000-000025000000}"/>
    <cellStyle name="Currency 8" xfId="28" xr:uid="{00000000-0005-0000-0000-000026000000}"/>
    <cellStyle name="Hyperlink" xfId="87" builtinId="8"/>
    <cellStyle name="Hyperlink 2" xfId="29" xr:uid="{00000000-0005-0000-0000-000028000000}"/>
    <cellStyle name="Hyperlink 2 2" xfId="63" xr:uid="{00000000-0005-0000-0000-000029000000}"/>
    <cellStyle name="Hyperlink 2 3" xfId="62" xr:uid="{00000000-0005-0000-0000-00002A000000}"/>
    <cellStyle name="Hyperlink 3" xfId="67" xr:uid="{00000000-0005-0000-0000-00002B000000}"/>
    <cellStyle name="Normal" xfId="0" builtinId="0"/>
    <cellStyle name="Normal 2" xfId="10" xr:uid="{00000000-0005-0000-0000-00002D000000}"/>
    <cellStyle name="Normal 2 2" xfId="31" xr:uid="{00000000-0005-0000-0000-00002E000000}"/>
    <cellStyle name="Normal 2 2 2" xfId="32" xr:uid="{00000000-0005-0000-0000-00002F000000}"/>
    <cellStyle name="Normal 2 2 3" xfId="60" xr:uid="{00000000-0005-0000-0000-000030000000}"/>
    <cellStyle name="Normal 2 2 4" xfId="61" xr:uid="{00000000-0005-0000-0000-000031000000}"/>
    <cellStyle name="Normal 2 2 4 2" xfId="57" xr:uid="{00000000-0005-0000-0000-000032000000}"/>
    <cellStyle name="Normal 2 2 5" xfId="64" xr:uid="{00000000-0005-0000-0000-000033000000}"/>
    <cellStyle name="Normal 2 3" xfId="33" xr:uid="{00000000-0005-0000-0000-000034000000}"/>
    <cellStyle name="Normal 2 4" xfId="30" xr:uid="{00000000-0005-0000-0000-000035000000}"/>
    <cellStyle name="Normal 2 5" xfId="19" xr:uid="{00000000-0005-0000-0000-000036000000}"/>
    <cellStyle name="Normal 2 6" xfId="73" xr:uid="{00000000-0005-0000-0000-000037000000}"/>
    <cellStyle name="Normal 3" xfId="11" xr:uid="{00000000-0005-0000-0000-000038000000}"/>
    <cellStyle name="Normal 3 2" xfId="34" xr:uid="{00000000-0005-0000-0000-000039000000}"/>
    <cellStyle name="Normal 3 2 2" xfId="65" xr:uid="{00000000-0005-0000-0000-00003A000000}"/>
    <cellStyle name="Normal 3 3" xfId="35" xr:uid="{00000000-0005-0000-0000-00003B000000}"/>
    <cellStyle name="Normal 4" xfId="12" xr:uid="{00000000-0005-0000-0000-00003C000000}"/>
    <cellStyle name="Normal 4 2" xfId="36" xr:uid="{00000000-0005-0000-0000-00003D000000}"/>
    <cellStyle name="Normal 4 3" xfId="66" xr:uid="{00000000-0005-0000-0000-00003E000000}"/>
    <cellStyle name="Normal 5" xfId="82" xr:uid="{00000000-0005-0000-0000-00003F000000}"/>
    <cellStyle name="Normal 6" xfId="85" xr:uid="{00000000-0005-0000-0000-000040000000}"/>
    <cellStyle name="Normal 9" xfId="37" xr:uid="{00000000-0005-0000-0000-000041000000}"/>
    <cellStyle name="Normal_AFS NEW SHEETS 1997" xfId="68" xr:uid="{00000000-0005-0000-0000-000042000000}"/>
    <cellStyle name="Normal_Woodbine  AFS New Sheets 1997" xfId="69" xr:uid="{00000000-0005-0000-0000-000043000000}"/>
    <cellStyle name="Normal_Woodbine Budget 02 Introduction" xfId="38" xr:uid="{00000000-0005-0000-0000-000044000000}"/>
    <cellStyle name="Percent" xfId="13" builtinId="5"/>
    <cellStyle name="Percent 2" xfId="14" xr:uid="{00000000-0005-0000-0000-000046000000}"/>
    <cellStyle name="Percent 2 2" xfId="15" xr:uid="{00000000-0005-0000-0000-000047000000}"/>
    <cellStyle name="Percent 2 3" xfId="71" xr:uid="{00000000-0005-0000-0000-000048000000}"/>
    <cellStyle name="Percent 3" xfId="16" xr:uid="{00000000-0005-0000-0000-000049000000}"/>
    <cellStyle name="Percent 3 2" xfId="40" xr:uid="{00000000-0005-0000-0000-00004A000000}"/>
    <cellStyle name="Percent 3 2 2" xfId="72" xr:uid="{00000000-0005-0000-0000-00004B000000}"/>
    <cellStyle name="Percent 3 3" xfId="83" xr:uid="{00000000-0005-0000-0000-00004C000000}"/>
    <cellStyle name="Percent 4" xfId="17" xr:uid="{00000000-0005-0000-0000-00004D000000}"/>
    <cellStyle name="Percent 4 2" xfId="41" xr:uid="{00000000-0005-0000-0000-00004E000000}"/>
    <cellStyle name="Percent 5" xfId="18" xr:uid="{00000000-0005-0000-0000-00004F000000}"/>
    <cellStyle name="Percent 5 2" xfId="42" xr:uid="{00000000-0005-0000-0000-000050000000}"/>
    <cellStyle name="Percent 5 3" xfId="75" xr:uid="{00000000-0005-0000-0000-000051000000}"/>
    <cellStyle name="Percent 5 4" xfId="76" xr:uid="{00000000-0005-0000-0000-000052000000}"/>
    <cellStyle name="Percent 5 4 2" xfId="74" xr:uid="{00000000-0005-0000-0000-000053000000}"/>
    <cellStyle name="Percent 6" xfId="39" xr:uid="{00000000-0005-0000-0000-000054000000}"/>
    <cellStyle name="Percent 7" xfId="77" xr:uid="{00000000-0005-0000-0000-000055000000}"/>
    <cellStyle name="Percent 7 2" xfId="81" xr:uid="{00000000-0005-0000-0000-000056000000}"/>
    <cellStyle name="Percent 8" xfId="70" xr:uid="{00000000-0005-0000-0000-000057000000}"/>
  </cellStyles>
  <dxfs count="19">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font>
        <b val="0"/>
        <i val="0"/>
        <strike/>
      </font>
    </dxf>
    <dxf>
      <font>
        <b val="0"/>
        <i val="0"/>
        <strike/>
      </font>
    </dxf>
    <dxf>
      <font>
        <strike/>
      </font>
    </dxf>
    <dxf>
      <font>
        <strike/>
      </font>
    </dxf>
    <dxf>
      <font>
        <strike/>
      </font>
    </dxf>
    <dxf>
      <font>
        <strike/>
      </font>
    </dxf>
    <dxf>
      <font>
        <strike/>
      </font>
    </dxf>
    <dxf>
      <font>
        <strike/>
      </font>
    </dxf>
    <dxf>
      <font>
        <b val="0"/>
        <i val="0"/>
        <strike/>
      </font>
    </dxf>
    <dxf>
      <font>
        <b val="0"/>
        <i val="0"/>
        <strike/>
      </font>
    </dxf>
    <dxf>
      <font>
        <strike/>
      </font>
    </dxf>
    <dxf>
      <font>
        <strike/>
      </font>
    </dxf>
    <dxf>
      <font>
        <strike/>
      </font>
    </dxf>
  </dxfs>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291" Type="http://schemas.openxmlformats.org/officeDocument/2006/relationships/worksheet" Target="worksheets/sheet291.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92" Type="http://schemas.openxmlformats.org/officeDocument/2006/relationships/worksheet" Target="worksheets/sheet292.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theme" Target="theme/theme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styles" Target="style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sharedStrings" Target="sharedStrings.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calcChain" Target="calcChain.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s>
</file>

<file path=xl/ctrlProps/ctrlProp1.xml><?xml version="1.0" encoding="utf-8"?>
<formControlPr xmlns="http://schemas.microsoft.com/office/spreadsheetml/2009/9/main" objectType="Drop" dropLines="20" dropStyle="combo" dx="22" fmlaLink="$D$8" fmlaRange="$U$7:$U$592" noThreeD="1" sel="526" val="520"/>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7</xdr:row>
          <xdr:rowOff>7620</xdr:rowOff>
        </xdr:from>
        <xdr:to>
          <xdr:col>4</xdr:col>
          <xdr:colOff>0</xdr:colOff>
          <xdr:row>7</xdr:row>
          <xdr:rowOff>251460</xdr:rowOff>
        </xdr:to>
        <xdr:sp macro="" textlink="">
          <xdr:nvSpPr>
            <xdr:cNvPr id="39937" name="Drop Down 1" hidden="1">
              <a:extLst>
                <a:ext uri="{63B3BB69-23CF-44E3-9099-C40C66FF867C}">
                  <a14:compatExt spid="_x0000_s39937"/>
                </a:ext>
                <a:ext uri="{FF2B5EF4-FFF2-40B4-BE49-F238E27FC236}">
                  <a16:creationId xmlns:a16="http://schemas.microsoft.com/office/drawing/2014/main" id="{00000000-0008-0000-0200-00000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800100</xdr:colOff>
          <xdr:row>39</xdr:row>
          <xdr:rowOff>106680</xdr:rowOff>
        </xdr:from>
        <xdr:to>
          <xdr:col>11</xdr:col>
          <xdr:colOff>1104900</xdr:colOff>
          <xdr:row>41</xdr:row>
          <xdr:rowOff>0</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7800-00000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5.bin"/><Relationship Id="rId5" Type="http://schemas.openxmlformats.org/officeDocument/2006/relationships/hyperlink" Target="https://www.nj.gov/dca/divisions/dlgs/pdf/FAST%20AFS%20Quick%20User%20Guide.pdf" TargetMode="External"/><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498.bin"/><Relationship Id="rId2" Type="http://schemas.openxmlformats.org/officeDocument/2006/relationships/printerSettings" Target="../printerSettings/printerSettings497.bin"/><Relationship Id="rId1" Type="http://schemas.openxmlformats.org/officeDocument/2006/relationships/printerSettings" Target="../printerSettings/printerSettings496.bin"/><Relationship Id="rId5" Type="http://schemas.openxmlformats.org/officeDocument/2006/relationships/printerSettings" Target="../printerSettings/printerSettings500.bin"/><Relationship Id="rId4" Type="http://schemas.openxmlformats.org/officeDocument/2006/relationships/printerSettings" Target="../printerSettings/printerSettings499.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503.bin"/><Relationship Id="rId2" Type="http://schemas.openxmlformats.org/officeDocument/2006/relationships/printerSettings" Target="../printerSettings/printerSettings502.bin"/><Relationship Id="rId1" Type="http://schemas.openxmlformats.org/officeDocument/2006/relationships/printerSettings" Target="../printerSettings/printerSettings501.bin"/><Relationship Id="rId5" Type="http://schemas.openxmlformats.org/officeDocument/2006/relationships/printerSettings" Target="../printerSettings/printerSettings505.bin"/><Relationship Id="rId4" Type="http://schemas.openxmlformats.org/officeDocument/2006/relationships/printerSettings" Target="../printerSettings/printerSettings504.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508.bin"/><Relationship Id="rId2" Type="http://schemas.openxmlformats.org/officeDocument/2006/relationships/printerSettings" Target="../printerSettings/printerSettings507.bin"/><Relationship Id="rId1" Type="http://schemas.openxmlformats.org/officeDocument/2006/relationships/printerSettings" Target="../printerSettings/printerSettings506.bin"/><Relationship Id="rId5" Type="http://schemas.openxmlformats.org/officeDocument/2006/relationships/printerSettings" Target="../printerSettings/printerSettings510.bin"/><Relationship Id="rId4" Type="http://schemas.openxmlformats.org/officeDocument/2006/relationships/printerSettings" Target="../printerSettings/printerSettings509.bin"/></Relationships>
</file>

<file path=xl/worksheets/_rels/sheet103.xml.rels><?xml version="1.0" encoding="UTF-8" standalone="yes"?>
<Relationships xmlns="http://schemas.openxmlformats.org/package/2006/relationships"><Relationship Id="rId3" Type="http://schemas.openxmlformats.org/officeDocument/2006/relationships/printerSettings" Target="../printerSettings/printerSettings513.bin"/><Relationship Id="rId2" Type="http://schemas.openxmlformats.org/officeDocument/2006/relationships/printerSettings" Target="../printerSettings/printerSettings512.bin"/><Relationship Id="rId1" Type="http://schemas.openxmlformats.org/officeDocument/2006/relationships/printerSettings" Target="../printerSettings/printerSettings511.bin"/><Relationship Id="rId5" Type="http://schemas.openxmlformats.org/officeDocument/2006/relationships/printerSettings" Target="../printerSettings/printerSettings515.bin"/><Relationship Id="rId4" Type="http://schemas.openxmlformats.org/officeDocument/2006/relationships/printerSettings" Target="../printerSettings/printerSettings514.bin"/></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518.bin"/><Relationship Id="rId2" Type="http://schemas.openxmlformats.org/officeDocument/2006/relationships/printerSettings" Target="../printerSettings/printerSettings517.bin"/><Relationship Id="rId1" Type="http://schemas.openxmlformats.org/officeDocument/2006/relationships/printerSettings" Target="../printerSettings/printerSettings516.bin"/><Relationship Id="rId5" Type="http://schemas.openxmlformats.org/officeDocument/2006/relationships/printerSettings" Target="../printerSettings/printerSettings520.bin"/><Relationship Id="rId4" Type="http://schemas.openxmlformats.org/officeDocument/2006/relationships/printerSettings" Target="../printerSettings/printerSettings519.bin"/></Relationships>
</file>

<file path=xl/worksheets/_rels/sheet105.xml.rels><?xml version="1.0" encoding="UTF-8" standalone="yes"?>
<Relationships xmlns="http://schemas.openxmlformats.org/package/2006/relationships"><Relationship Id="rId3" Type="http://schemas.openxmlformats.org/officeDocument/2006/relationships/printerSettings" Target="../printerSettings/printerSettings523.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106.xml.rels><?xml version="1.0" encoding="UTF-8" standalone="yes"?>
<Relationships xmlns="http://schemas.openxmlformats.org/package/2006/relationships"><Relationship Id="rId3" Type="http://schemas.openxmlformats.org/officeDocument/2006/relationships/printerSettings" Target="../printerSettings/printerSettings528.bin"/><Relationship Id="rId2" Type="http://schemas.openxmlformats.org/officeDocument/2006/relationships/printerSettings" Target="../printerSettings/printerSettings527.bin"/><Relationship Id="rId1" Type="http://schemas.openxmlformats.org/officeDocument/2006/relationships/printerSettings" Target="../printerSettings/printerSettings526.bin"/><Relationship Id="rId5" Type="http://schemas.openxmlformats.org/officeDocument/2006/relationships/printerSettings" Target="../printerSettings/printerSettings530.bin"/><Relationship Id="rId4" Type="http://schemas.openxmlformats.org/officeDocument/2006/relationships/printerSettings" Target="../printerSettings/printerSettings529.bin"/></Relationships>
</file>

<file path=xl/worksheets/_rels/sheet107.xml.rels><?xml version="1.0" encoding="UTF-8" standalone="yes"?>
<Relationships xmlns="http://schemas.openxmlformats.org/package/2006/relationships"><Relationship Id="rId3" Type="http://schemas.openxmlformats.org/officeDocument/2006/relationships/printerSettings" Target="../printerSettings/printerSettings533.bin"/><Relationship Id="rId2" Type="http://schemas.openxmlformats.org/officeDocument/2006/relationships/printerSettings" Target="../printerSettings/printerSettings532.bin"/><Relationship Id="rId1" Type="http://schemas.openxmlformats.org/officeDocument/2006/relationships/printerSettings" Target="../printerSettings/printerSettings531.bin"/><Relationship Id="rId5" Type="http://schemas.openxmlformats.org/officeDocument/2006/relationships/printerSettings" Target="../printerSettings/printerSettings535.bin"/><Relationship Id="rId4" Type="http://schemas.openxmlformats.org/officeDocument/2006/relationships/printerSettings" Target="../printerSettings/printerSettings534.bin"/></Relationships>
</file>

<file path=xl/worksheets/_rels/sheet108.xml.rels><?xml version="1.0" encoding="UTF-8" standalone="yes"?>
<Relationships xmlns="http://schemas.openxmlformats.org/package/2006/relationships"><Relationship Id="rId3" Type="http://schemas.openxmlformats.org/officeDocument/2006/relationships/printerSettings" Target="../printerSettings/printerSettings538.bin"/><Relationship Id="rId2" Type="http://schemas.openxmlformats.org/officeDocument/2006/relationships/printerSettings" Target="../printerSettings/printerSettings537.bin"/><Relationship Id="rId1" Type="http://schemas.openxmlformats.org/officeDocument/2006/relationships/printerSettings" Target="../printerSettings/printerSettings536.bin"/><Relationship Id="rId5" Type="http://schemas.openxmlformats.org/officeDocument/2006/relationships/printerSettings" Target="../printerSettings/printerSettings540.bin"/><Relationship Id="rId4" Type="http://schemas.openxmlformats.org/officeDocument/2006/relationships/printerSettings" Target="../printerSettings/printerSettings539.bin"/></Relationships>
</file>

<file path=xl/worksheets/_rels/sheet109.xml.rels><?xml version="1.0" encoding="UTF-8" standalone="yes"?>
<Relationships xmlns="http://schemas.openxmlformats.org/package/2006/relationships"><Relationship Id="rId3" Type="http://schemas.openxmlformats.org/officeDocument/2006/relationships/printerSettings" Target="../printerSettings/printerSettings543.bin"/><Relationship Id="rId2" Type="http://schemas.openxmlformats.org/officeDocument/2006/relationships/printerSettings" Target="../printerSettings/printerSettings542.bin"/><Relationship Id="rId1" Type="http://schemas.openxmlformats.org/officeDocument/2006/relationships/printerSettings" Target="../printerSettings/printerSettings541.bin"/><Relationship Id="rId5" Type="http://schemas.openxmlformats.org/officeDocument/2006/relationships/printerSettings" Target="../printerSettings/printerSettings545.bin"/><Relationship Id="rId4" Type="http://schemas.openxmlformats.org/officeDocument/2006/relationships/printerSettings" Target="../printerSettings/printerSettings54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10.xml.rels><?xml version="1.0" encoding="UTF-8" standalone="yes"?>
<Relationships xmlns="http://schemas.openxmlformats.org/package/2006/relationships"><Relationship Id="rId3" Type="http://schemas.openxmlformats.org/officeDocument/2006/relationships/printerSettings" Target="../printerSettings/printerSettings548.bin"/><Relationship Id="rId2" Type="http://schemas.openxmlformats.org/officeDocument/2006/relationships/printerSettings" Target="../printerSettings/printerSettings547.bin"/><Relationship Id="rId1" Type="http://schemas.openxmlformats.org/officeDocument/2006/relationships/printerSettings" Target="../printerSettings/printerSettings546.bin"/><Relationship Id="rId5" Type="http://schemas.openxmlformats.org/officeDocument/2006/relationships/printerSettings" Target="../printerSettings/printerSettings550.bin"/><Relationship Id="rId4" Type="http://schemas.openxmlformats.org/officeDocument/2006/relationships/printerSettings" Target="../printerSettings/printerSettings549.bin"/></Relationships>
</file>

<file path=xl/worksheets/_rels/sheet111.xml.rels><?xml version="1.0" encoding="UTF-8" standalone="yes"?>
<Relationships xmlns="http://schemas.openxmlformats.org/package/2006/relationships"><Relationship Id="rId3" Type="http://schemas.openxmlformats.org/officeDocument/2006/relationships/printerSettings" Target="../printerSettings/printerSettings553.bin"/><Relationship Id="rId2" Type="http://schemas.openxmlformats.org/officeDocument/2006/relationships/printerSettings" Target="../printerSettings/printerSettings552.bin"/><Relationship Id="rId1" Type="http://schemas.openxmlformats.org/officeDocument/2006/relationships/printerSettings" Target="../printerSettings/printerSettings551.bin"/><Relationship Id="rId5" Type="http://schemas.openxmlformats.org/officeDocument/2006/relationships/printerSettings" Target="../printerSettings/printerSettings555.bin"/><Relationship Id="rId4" Type="http://schemas.openxmlformats.org/officeDocument/2006/relationships/printerSettings" Target="../printerSettings/printerSettings554.bin"/></Relationships>
</file>

<file path=xl/worksheets/_rels/sheet112.xml.rels><?xml version="1.0" encoding="UTF-8" standalone="yes"?>
<Relationships xmlns="http://schemas.openxmlformats.org/package/2006/relationships"><Relationship Id="rId3" Type="http://schemas.openxmlformats.org/officeDocument/2006/relationships/printerSettings" Target="../printerSettings/printerSettings558.bin"/><Relationship Id="rId2" Type="http://schemas.openxmlformats.org/officeDocument/2006/relationships/printerSettings" Target="../printerSettings/printerSettings557.bin"/><Relationship Id="rId1" Type="http://schemas.openxmlformats.org/officeDocument/2006/relationships/printerSettings" Target="../printerSettings/printerSettings556.bin"/><Relationship Id="rId5" Type="http://schemas.openxmlformats.org/officeDocument/2006/relationships/printerSettings" Target="../printerSettings/printerSettings560.bin"/><Relationship Id="rId4" Type="http://schemas.openxmlformats.org/officeDocument/2006/relationships/printerSettings" Target="../printerSettings/printerSettings559.bin"/></Relationships>
</file>

<file path=xl/worksheets/_rels/sheet113.xml.rels><?xml version="1.0" encoding="UTF-8" standalone="yes"?>
<Relationships xmlns="http://schemas.openxmlformats.org/package/2006/relationships"><Relationship Id="rId3" Type="http://schemas.openxmlformats.org/officeDocument/2006/relationships/printerSettings" Target="../printerSettings/printerSettings563.bin"/><Relationship Id="rId2" Type="http://schemas.openxmlformats.org/officeDocument/2006/relationships/printerSettings" Target="../printerSettings/printerSettings562.bin"/><Relationship Id="rId1" Type="http://schemas.openxmlformats.org/officeDocument/2006/relationships/printerSettings" Target="../printerSettings/printerSettings561.bin"/><Relationship Id="rId5" Type="http://schemas.openxmlformats.org/officeDocument/2006/relationships/printerSettings" Target="../printerSettings/printerSettings565.bin"/><Relationship Id="rId4" Type="http://schemas.openxmlformats.org/officeDocument/2006/relationships/printerSettings" Target="../printerSettings/printerSettings564.bin"/></Relationships>
</file>

<file path=xl/worksheets/_rels/sheet114.xml.rels><?xml version="1.0" encoding="UTF-8" standalone="yes"?>
<Relationships xmlns="http://schemas.openxmlformats.org/package/2006/relationships"><Relationship Id="rId3" Type="http://schemas.openxmlformats.org/officeDocument/2006/relationships/printerSettings" Target="../printerSettings/printerSettings568.bin"/><Relationship Id="rId2" Type="http://schemas.openxmlformats.org/officeDocument/2006/relationships/printerSettings" Target="../printerSettings/printerSettings567.bin"/><Relationship Id="rId1" Type="http://schemas.openxmlformats.org/officeDocument/2006/relationships/printerSettings" Target="../printerSettings/printerSettings566.bin"/><Relationship Id="rId5" Type="http://schemas.openxmlformats.org/officeDocument/2006/relationships/printerSettings" Target="../printerSettings/printerSettings570.bin"/><Relationship Id="rId4" Type="http://schemas.openxmlformats.org/officeDocument/2006/relationships/printerSettings" Target="../printerSettings/printerSettings569.bin"/></Relationships>
</file>

<file path=xl/worksheets/_rels/sheet115.xml.rels><?xml version="1.0" encoding="UTF-8" standalone="yes"?>
<Relationships xmlns="http://schemas.openxmlformats.org/package/2006/relationships"><Relationship Id="rId3" Type="http://schemas.openxmlformats.org/officeDocument/2006/relationships/printerSettings" Target="../printerSettings/printerSettings573.bin"/><Relationship Id="rId2" Type="http://schemas.openxmlformats.org/officeDocument/2006/relationships/printerSettings" Target="../printerSettings/printerSettings572.bin"/><Relationship Id="rId1" Type="http://schemas.openxmlformats.org/officeDocument/2006/relationships/printerSettings" Target="../printerSettings/printerSettings571.bin"/><Relationship Id="rId5" Type="http://schemas.openxmlformats.org/officeDocument/2006/relationships/printerSettings" Target="../printerSettings/printerSettings575.bin"/><Relationship Id="rId4" Type="http://schemas.openxmlformats.org/officeDocument/2006/relationships/printerSettings" Target="../printerSettings/printerSettings574.bin"/></Relationships>
</file>

<file path=xl/worksheets/_rels/sheet116.xml.rels><?xml version="1.0" encoding="UTF-8" standalone="yes"?>
<Relationships xmlns="http://schemas.openxmlformats.org/package/2006/relationships"><Relationship Id="rId3" Type="http://schemas.openxmlformats.org/officeDocument/2006/relationships/printerSettings" Target="../printerSettings/printerSettings578.bin"/><Relationship Id="rId2" Type="http://schemas.openxmlformats.org/officeDocument/2006/relationships/printerSettings" Target="../printerSettings/printerSettings577.bin"/><Relationship Id="rId1" Type="http://schemas.openxmlformats.org/officeDocument/2006/relationships/printerSettings" Target="../printerSettings/printerSettings576.bin"/><Relationship Id="rId5" Type="http://schemas.openxmlformats.org/officeDocument/2006/relationships/printerSettings" Target="../printerSettings/printerSettings580.bin"/><Relationship Id="rId4" Type="http://schemas.openxmlformats.org/officeDocument/2006/relationships/printerSettings" Target="../printerSettings/printerSettings579.bin"/></Relationships>
</file>

<file path=xl/worksheets/_rels/sheet117.xml.rels><?xml version="1.0" encoding="UTF-8" standalone="yes"?>
<Relationships xmlns="http://schemas.openxmlformats.org/package/2006/relationships"><Relationship Id="rId3" Type="http://schemas.openxmlformats.org/officeDocument/2006/relationships/printerSettings" Target="../printerSettings/printerSettings583.bin"/><Relationship Id="rId2" Type="http://schemas.openxmlformats.org/officeDocument/2006/relationships/printerSettings" Target="../printerSettings/printerSettings582.bin"/><Relationship Id="rId1" Type="http://schemas.openxmlformats.org/officeDocument/2006/relationships/printerSettings" Target="../printerSettings/printerSettings581.bin"/><Relationship Id="rId5" Type="http://schemas.openxmlformats.org/officeDocument/2006/relationships/printerSettings" Target="../printerSettings/printerSettings585.bin"/><Relationship Id="rId4" Type="http://schemas.openxmlformats.org/officeDocument/2006/relationships/printerSettings" Target="../printerSettings/printerSettings584.bin"/></Relationships>
</file>

<file path=xl/worksheets/_rels/sheet118.xml.rels><?xml version="1.0" encoding="UTF-8" standalone="yes"?>
<Relationships xmlns="http://schemas.openxmlformats.org/package/2006/relationships"><Relationship Id="rId3" Type="http://schemas.openxmlformats.org/officeDocument/2006/relationships/printerSettings" Target="../printerSettings/printerSettings588.bin"/><Relationship Id="rId2" Type="http://schemas.openxmlformats.org/officeDocument/2006/relationships/printerSettings" Target="../printerSettings/printerSettings587.bin"/><Relationship Id="rId1" Type="http://schemas.openxmlformats.org/officeDocument/2006/relationships/printerSettings" Target="../printerSettings/printerSettings586.bin"/><Relationship Id="rId5" Type="http://schemas.openxmlformats.org/officeDocument/2006/relationships/printerSettings" Target="../printerSettings/printerSettings590.bin"/><Relationship Id="rId4" Type="http://schemas.openxmlformats.org/officeDocument/2006/relationships/printerSettings" Target="../printerSettings/printerSettings589.bin"/></Relationships>
</file>

<file path=xl/worksheets/_rels/sheet119.xml.rels><?xml version="1.0" encoding="UTF-8" standalone="yes"?>
<Relationships xmlns="http://schemas.openxmlformats.org/package/2006/relationships"><Relationship Id="rId3" Type="http://schemas.openxmlformats.org/officeDocument/2006/relationships/printerSettings" Target="../printerSettings/printerSettings593.bin"/><Relationship Id="rId2" Type="http://schemas.openxmlformats.org/officeDocument/2006/relationships/printerSettings" Target="../printerSettings/printerSettings592.bin"/><Relationship Id="rId1" Type="http://schemas.openxmlformats.org/officeDocument/2006/relationships/printerSettings" Target="../printerSettings/printerSettings591.bin"/><Relationship Id="rId5" Type="http://schemas.openxmlformats.org/officeDocument/2006/relationships/printerSettings" Target="../printerSettings/printerSettings595.bin"/><Relationship Id="rId4" Type="http://schemas.openxmlformats.org/officeDocument/2006/relationships/printerSettings" Target="../printerSettings/printerSettings59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5" Type="http://schemas.openxmlformats.org/officeDocument/2006/relationships/printerSettings" Target="../printerSettings/printerSettings60.bin"/><Relationship Id="rId4" Type="http://schemas.openxmlformats.org/officeDocument/2006/relationships/printerSettings" Target="../printerSettings/printerSettings59.bin"/></Relationships>
</file>

<file path=xl/worksheets/_rels/sheet120.xml.rels><?xml version="1.0" encoding="UTF-8" standalone="yes"?>
<Relationships xmlns="http://schemas.openxmlformats.org/package/2006/relationships"><Relationship Id="rId3" Type="http://schemas.openxmlformats.org/officeDocument/2006/relationships/printerSettings" Target="../printerSettings/printerSettings598.bin"/><Relationship Id="rId2" Type="http://schemas.openxmlformats.org/officeDocument/2006/relationships/printerSettings" Target="../printerSettings/printerSettings597.bin"/><Relationship Id="rId1" Type="http://schemas.openxmlformats.org/officeDocument/2006/relationships/printerSettings" Target="../printerSettings/printerSettings596.bin"/><Relationship Id="rId5" Type="http://schemas.openxmlformats.org/officeDocument/2006/relationships/printerSettings" Target="../printerSettings/printerSettings600.bin"/><Relationship Id="rId4" Type="http://schemas.openxmlformats.org/officeDocument/2006/relationships/printerSettings" Target="../printerSettings/printerSettings599.bin"/></Relationships>
</file>

<file path=xl/worksheets/_rels/sheet12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603.bin"/><Relationship Id="rId7" Type="http://schemas.openxmlformats.org/officeDocument/2006/relationships/vmlDrawing" Target="../drawings/vmlDrawing2.vml"/><Relationship Id="rId2" Type="http://schemas.openxmlformats.org/officeDocument/2006/relationships/printerSettings" Target="../printerSettings/printerSettings602.bin"/><Relationship Id="rId1" Type="http://schemas.openxmlformats.org/officeDocument/2006/relationships/printerSettings" Target="../printerSettings/printerSettings601.bin"/><Relationship Id="rId6" Type="http://schemas.openxmlformats.org/officeDocument/2006/relationships/drawing" Target="../drawings/drawing2.xml"/><Relationship Id="rId5" Type="http://schemas.openxmlformats.org/officeDocument/2006/relationships/printerSettings" Target="../printerSettings/printerSettings605.bin"/><Relationship Id="rId4" Type="http://schemas.openxmlformats.org/officeDocument/2006/relationships/printerSettings" Target="../printerSettings/printerSettings604.bin"/></Relationships>
</file>

<file path=xl/worksheets/_rels/sheet122.xml.rels><?xml version="1.0" encoding="UTF-8" standalone="yes"?>
<Relationships xmlns="http://schemas.openxmlformats.org/package/2006/relationships"><Relationship Id="rId3" Type="http://schemas.openxmlformats.org/officeDocument/2006/relationships/printerSettings" Target="../printerSettings/printerSettings608.bin"/><Relationship Id="rId2" Type="http://schemas.openxmlformats.org/officeDocument/2006/relationships/printerSettings" Target="../printerSettings/printerSettings607.bin"/><Relationship Id="rId1" Type="http://schemas.openxmlformats.org/officeDocument/2006/relationships/printerSettings" Target="../printerSettings/printerSettings606.bin"/><Relationship Id="rId5" Type="http://schemas.openxmlformats.org/officeDocument/2006/relationships/printerSettings" Target="../printerSettings/printerSettings610.bin"/><Relationship Id="rId4" Type="http://schemas.openxmlformats.org/officeDocument/2006/relationships/printerSettings" Target="../printerSettings/printerSettings609.bin"/></Relationships>
</file>

<file path=xl/worksheets/_rels/sheet123.xml.rels><?xml version="1.0" encoding="UTF-8" standalone="yes"?>
<Relationships xmlns="http://schemas.openxmlformats.org/package/2006/relationships"><Relationship Id="rId3" Type="http://schemas.openxmlformats.org/officeDocument/2006/relationships/printerSettings" Target="../printerSettings/printerSettings613.bin"/><Relationship Id="rId2" Type="http://schemas.openxmlformats.org/officeDocument/2006/relationships/printerSettings" Target="../printerSettings/printerSettings612.bin"/><Relationship Id="rId1" Type="http://schemas.openxmlformats.org/officeDocument/2006/relationships/printerSettings" Target="../printerSettings/printerSettings611.bin"/><Relationship Id="rId5" Type="http://schemas.openxmlformats.org/officeDocument/2006/relationships/printerSettings" Target="../printerSettings/printerSettings615.bin"/><Relationship Id="rId4" Type="http://schemas.openxmlformats.org/officeDocument/2006/relationships/printerSettings" Target="../printerSettings/printerSettings614.bin"/></Relationships>
</file>

<file path=xl/worksheets/_rels/sheet124.xml.rels><?xml version="1.0" encoding="UTF-8" standalone="yes"?>
<Relationships xmlns="http://schemas.openxmlformats.org/package/2006/relationships"><Relationship Id="rId3" Type="http://schemas.openxmlformats.org/officeDocument/2006/relationships/printerSettings" Target="../printerSettings/printerSettings618.bin"/><Relationship Id="rId2" Type="http://schemas.openxmlformats.org/officeDocument/2006/relationships/printerSettings" Target="../printerSettings/printerSettings617.bin"/><Relationship Id="rId1" Type="http://schemas.openxmlformats.org/officeDocument/2006/relationships/printerSettings" Target="../printerSettings/printerSettings616.bin"/><Relationship Id="rId5" Type="http://schemas.openxmlformats.org/officeDocument/2006/relationships/printerSettings" Target="../printerSettings/printerSettings620.bin"/><Relationship Id="rId4" Type="http://schemas.openxmlformats.org/officeDocument/2006/relationships/printerSettings" Target="../printerSettings/printerSettings619.bin"/></Relationships>
</file>

<file path=xl/worksheets/_rels/sheet125.xml.rels><?xml version="1.0" encoding="UTF-8" standalone="yes"?>
<Relationships xmlns="http://schemas.openxmlformats.org/package/2006/relationships"><Relationship Id="rId3" Type="http://schemas.openxmlformats.org/officeDocument/2006/relationships/printerSettings" Target="../printerSettings/printerSettings623.bin"/><Relationship Id="rId2" Type="http://schemas.openxmlformats.org/officeDocument/2006/relationships/printerSettings" Target="../printerSettings/printerSettings622.bin"/><Relationship Id="rId1" Type="http://schemas.openxmlformats.org/officeDocument/2006/relationships/printerSettings" Target="../printerSettings/printerSettings621.bin"/><Relationship Id="rId5" Type="http://schemas.openxmlformats.org/officeDocument/2006/relationships/printerSettings" Target="../printerSettings/printerSettings625.bin"/><Relationship Id="rId4" Type="http://schemas.openxmlformats.org/officeDocument/2006/relationships/printerSettings" Target="../printerSettings/printerSettings624.bin"/></Relationships>
</file>

<file path=xl/worksheets/_rels/sheet126.xml.rels><?xml version="1.0" encoding="UTF-8" standalone="yes"?>
<Relationships xmlns="http://schemas.openxmlformats.org/package/2006/relationships"><Relationship Id="rId3" Type="http://schemas.openxmlformats.org/officeDocument/2006/relationships/printerSettings" Target="../printerSettings/printerSettings628.bin"/><Relationship Id="rId2" Type="http://schemas.openxmlformats.org/officeDocument/2006/relationships/printerSettings" Target="../printerSettings/printerSettings627.bin"/><Relationship Id="rId1" Type="http://schemas.openxmlformats.org/officeDocument/2006/relationships/printerSettings" Target="../printerSettings/printerSettings626.bin"/><Relationship Id="rId5" Type="http://schemas.openxmlformats.org/officeDocument/2006/relationships/printerSettings" Target="../printerSettings/printerSettings630.bin"/><Relationship Id="rId4" Type="http://schemas.openxmlformats.org/officeDocument/2006/relationships/printerSettings" Target="../printerSettings/printerSettings629.bin"/></Relationships>
</file>

<file path=xl/worksheets/_rels/sheet127.xml.rels><?xml version="1.0" encoding="UTF-8" standalone="yes"?>
<Relationships xmlns="http://schemas.openxmlformats.org/package/2006/relationships"><Relationship Id="rId3" Type="http://schemas.openxmlformats.org/officeDocument/2006/relationships/printerSettings" Target="../printerSettings/printerSettings633.bin"/><Relationship Id="rId2" Type="http://schemas.openxmlformats.org/officeDocument/2006/relationships/printerSettings" Target="../printerSettings/printerSettings632.bin"/><Relationship Id="rId1" Type="http://schemas.openxmlformats.org/officeDocument/2006/relationships/printerSettings" Target="../printerSettings/printerSettings631.bin"/><Relationship Id="rId5" Type="http://schemas.openxmlformats.org/officeDocument/2006/relationships/printerSettings" Target="../printerSettings/printerSettings635.bin"/><Relationship Id="rId4" Type="http://schemas.openxmlformats.org/officeDocument/2006/relationships/printerSettings" Target="../printerSettings/printerSettings634.bin"/></Relationships>
</file>

<file path=xl/worksheets/_rels/sheet128.xml.rels><?xml version="1.0" encoding="UTF-8" standalone="yes"?>
<Relationships xmlns="http://schemas.openxmlformats.org/package/2006/relationships"><Relationship Id="rId3" Type="http://schemas.openxmlformats.org/officeDocument/2006/relationships/printerSettings" Target="../printerSettings/printerSettings638.bin"/><Relationship Id="rId2" Type="http://schemas.openxmlformats.org/officeDocument/2006/relationships/printerSettings" Target="../printerSettings/printerSettings637.bin"/><Relationship Id="rId1" Type="http://schemas.openxmlformats.org/officeDocument/2006/relationships/printerSettings" Target="../printerSettings/printerSettings636.bin"/><Relationship Id="rId5" Type="http://schemas.openxmlformats.org/officeDocument/2006/relationships/printerSettings" Target="../printerSettings/printerSettings640.bin"/><Relationship Id="rId4" Type="http://schemas.openxmlformats.org/officeDocument/2006/relationships/printerSettings" Target="../printerSettings/printerSettings639.bin"/></Relationships>
</file>

<file path=xl/worksheets/_rels/sheet129.xml.rels><?xml version="1.0" encoding="UTF-8" standalone="yes"?>
<Relationships xmlns="http://schemas.openxmlformats.org/package/2006/relationships"><Relationship Id="rId3" Type="http://schemas.openxmlformats.org/officeDocument/2006/relationships/printerSettings" Target="../printerSettings/printerSettings643.bin"/><Relationship Id="rId2" Type="http://schemas.openxmlformats.org/officeDocument/2006/relationships/printerSettings" Target="../printerSettings/printerSettings642.bin"/><Relationship Id="rId1" Type="http://schemas.openxmlformats.org/officeDocument/2006/relationships/printerSettings" Target="../printerSettings/printerSettings641.bin"/><Relationship Id="rId5" Type="http://schemas.openxmlformats.org/officeDocument/2006/relationships/printerSettings" Target="../printerSettings/printerSettings645.bin"/><Relationship Id="rId4" Type="http://schemas.openxmlformats.org/officeDocument/2006/relationships/printerSettings" Target="../printerSettings/printerSettings6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30.xml.rels><?xml version="1.0" encoding="UTF-8" standalone="yes"?>
<Relationships xmlns="http://schemas.openxmlformats.org/package/2006/relationships"><Relationship Id="rId3" Type="http://schemas.openxmlformats.org/officeDocument/2006/relationships/printerSettings" Target="../printerSettings/printerSettings648.bin"/><Relationship Id="rId2" Type="http://schemas.openxmlformats.org/officeDocument/2006/relationships/printerSettings" Target="../printerSettings/printerSettings647.bin"/><Relationship Id="rId1" Type="http://schemas.openxmlformats.org/officeDocument/2006/relationships/printerSettings" Target="../printerSettings/printerSettings646.bin"/><Relationship Id="rId5" Type="http://schemas.openxmlformats.org/officeDocument/2006/relationships/printerSettings" Target="../printerSettings/printerSettings650.bin"/><Relationship Id="rId4" Type="http://schemas.openxmlformats.org/officeDocument/2006/relationships/printerSettings" Target="../printerSettings/printerSettings649.bin"/></Relationships>
</file>

<file path=xl/worksheets/_rels/sheet131.xml.rels><?xml version="1.0" encoding="UTF-8" standalone="yes"?>
<Relationships xmlns="http://schemas.openxmlformats.org/package/2006/relationships"><Relationship Id="rId3" Type="http://schemas.openxmlformats.org/officeDocument/2006/relationships/printerSettings" Target="../printerSettings/printerSettings653.bin"/><Relationship Id="rId2" Type="http://schemas.openxmlformats.org/officeDocument/2006/relationships/printerSettings" Target="../printerSettings/printerSettings652.bin"/><Relationship Id="rId1" Type="http://schemas.openxmlformats.org/officeDocument/2006/relationships/printerSettings" Target="../printerSettings/printerSettings651.bin"/><Relationship Id="rId5" Type="http://schemas.openxmlformats.org/officeDocument/2006/relationships/printerSettings" Target="../printerSettings/printerSettings655.bin"/><Relationship Id="rId4" Type="http://schemas.openxmlformats.org/officeDocument/2006/relationships/printerSettings" Target="../printerSettings/printerSettings654.bin"/></Relationships>
</file>

<file path=xl/worksheets/_rels/sheet132.xml.rels><?xml version="1.0" encoding="UTF-8" standalone="yes"?>
<Relationships xmlns="http://schemas.openxmlformats.org/package/2006/relationships"><Relationship Id="rId3" Type="http://schemas.openxmlformats.org/officeDocument/2006/relationships/printerSettings" Target="../printerSettings/printerSettings658.bin"/><Relationship Id="rId2" Type="http://schemas.openxmlformats.org/officeDocument/2006/relationships/printerSettings" Target="../printerSettings/printerSettings657.bin"/><Relationship Id="rId1" Type="http://schemas.openxmlformats.org/officeDocument/2006/relationships/printerSettings" Target="../printerSettings/printerSettings656.bin"/><Relationship Id="rId5" Type="http://schemas.openxmlformats.org/officeDocument/2006/relationships/printerSettings" Target="../printerSettings/printerSettings660.bin"/><Relationship Id="rId4" Type="http://schemas.openxmlformats.org/officeDocument/2006/relationships/printerSettings" Target="../printerSettings/printerSettings659.bin"/></Relationships>
</file>

<file path=xl/worksheets/_rels/sheet133.xml.rels><?xml version="1.0" encoding="UTF-8" standalone="yes"?>
<Relationships xmlns="http://schemas.openxmlformats.org/package/2006/relationships"><Relationship Id="rId3" Type="http://schemas.openxmlformats.org/officeDocument/2006/relationships/printerSettings" Target="../printerSettings/printerSettings663.bin"/><Relationship Id="rId2" Type="http://schemas.openxmlformats.org/officeDocument/2006/relationships/printerSettings" Target="../printerSettings/printerSettings662.bin"/><Relationship Id="rId1" Type="http://schemas.openxmlformats.org/officeDocument/2006/relationships/printerSettings" Target="../printerSettings/printerSettings661.bin"/><Relationship Id="rId5" Type="http://schemas.openxmlformats.org/officeDocument/2006/relationships/printerSettings" Target="../printerSettings/printerSettings665.bin"/><Relationship Id="rId4" Type="http://schemas.openxmlformats.org/officeDocument/2006/relationships/printerSettings" Target="../printerSettings/printerSettings664.bin"/></Relationships>
</file>

<file path=xl/worksheets/_rels/sheet134.xml.rels><?xml version="1.0" encoding="UTF-8" standalone="yes"?>
<Relationships xmlns="http://schemas.openxmlformats.org/package/2006/relationships"><Relationship Id="rId3" Type="http://schemas.openxmlformats.org/officeDocument/2006/relationships/printerSettings" Target="../printerSettings/printerSettings668.bin"/><Relationship Id="rId2" Type="http://schemas.openxmlformats.org/officeDocument/2006/relationships/printerSettings" Target="../printerSettings/printerSettings667.bin"/><Relationship Id="rId1" Type="http://schemas.openxmlformats.org/officeDocument/2006/relationships/printerSettings" Target="../printerSettings/printerSettings666.bin"/><Relationship Id="rId5" Type="http://schemas.openxmlformats.org/officeDocument/2006/relationships/printerSettings" Target="../printerSettings/printerSettings670.bin"/><Relationship Id="rId4" Type="http://schemas.openxmlformats.org/officeDocument/2006/relationships/printerSettings" Target="../printerSettings/printerSettings669.bin"/></Relationships>
</file>

<file path=xl/worksheets/_rels/sheet135.xml.rels><?xml version="1.0" encoding="UTF-8" standalone="yes"?>
<Relationships xmlns="http://schemas.openxmlformats.org/package/2006/relationships"><Relationship Id="rId3" Type="http://schemas.openxmlformats.org/officeDocument/2006/relationships/printerSettings" Target="../printerSettings/printerSettings673.bin"/><Relationship Id="rId2" Type="http://schemas.openxmlformats.org/officeDocument/2006/relationships/printerSettings" Target="../printerSettings/printerSettings672.bin"/><Relationship Id="rId1" Type="http://schemas.openxmlformats.org/officeDocument/2006/relationships/printerSettings" Target="../printerSettings/printerSettings671.bin"/><Relationship Id="rId5" Type="http://schemas.openxmlformats.org/officeDocument/2006/relationships/printerSettings" Target="../printerSettings/printerSettings675.bin"/><Relationship Id="rId4" Type="http://schemas.openxmlformats.org/officeDocument/2006/relationships/printerSettings" Target="../printerSettings/printerSettings674.bin"/></Relationships>
</file>

<file path=xl/worksheets/_rels/sheet136.xml.rels><?xml version="1.0" encoding="UTF-8" standalone="yes"?>
<Relationships xmlns="http://schemas.openxmlformats.org/package/2006/relationships"><Relationship Id="rId3" Type="http://schemas.openxmlformats.org/officeDocument/2006/relationships/printerSettings" Target="../printerSettings/printerSettings678.bin"/><Relationship Id="rId2" Type="http://schemas.openxmlformats.org/officeDocument/2006/relationships/printerSettings" Target="../printerSettings/printerSettings677.bin"/><Relationship Id="rId1" Type="http://schemas.openxmlformats.org/officeDocument/2006/relationships/printerSettings" Target="../printerSettings/printerSettings676.bin"/><Relationship Id="rId5" Type="http://schemas.openxmlformats.org/officeDocument/2006/relationships/printerSettings" Target="../printerSettings/printerSettings680.bin"/><Relationship Id="rId4" Type="http://schemas.openxmlformats.org/officeDocument/2006/relationships/printerSettings" Target="../printerSettings/printerSettings679.bin"/></Relationships>
</file>

<file path=xl/worksheets/_rels/sheet137.xml.rels><?xml version="1.0" encoding="UTF-8" standalone="yes"?>
<Relationships xmlns="http://schemas.openxmlformats.org/package/2006/relationships"><Relationship Id="rId3" Type="http://schemas.openxmlformats.org/officeDocument/2006/relationships/printerSettings" Target="../printerSettings/printerSettings683.bin"/><Relationship Id="rId2" Type="http://schemas.openxmlformats.org/officeDocument/2006/relationships/printerSettings" Target="../printerSettings/printerSettings682.bin"/><Relationship Id="rId1" Type="http://schemas.openxmlformats.org/officeDocument/2006/relationships/printerSettings" Target="../printerSettings/printerSettings681.bin"/><Relationship Id="rId5" Type="http://schemas.openxmlformats.org/officeDocument/2006/relationships/printerSettings" Target="../printerSettings/printerSettings685.bin"/><Relationship Id="rId4" Type="http://schemas.openxmlformats.org/officeDocument/2006/relationships/printerSettings" Target="../printerSettings/printerSettings684.bin"/></Relationships>
</file>

<file path=xl/worksheets/_rels/sheet138.xml.rels><?xml version="1.0" encoding="UTF-8" standalone="yes"?>
<Relationships xmlns="http://schemas.openxmlformats.org/package/2006/relationships"><Relationship Id="rId3" Type="http://schemas.openxmlformats.org/officeDocument/2006/relationships/printerSettings" Target="../printerSettings/printerSettings688.bin"/><Relationship Id="rId2" Type="http://schemas.openxmlformats.org/officeDocument/2006/relationships/printerSettings" Target="../printerSettings/printerSettings687.bin"/><Relationship Id="rId1" Type="http://schemas.openxmlformats.org/officeDocument/2006/relationships/printerSettings" Target="../printerSettings/printerSettings686.bin"/><Relationship Id="rId5" Type="http://schemas.openxmlformats.org/officeDocument/2006/relationships/printerSettings" Target="../printerSettings/printerSettings690.bin"/><Relationship Id="rId4" Type="http://schemas.openxmlformats.org/officeDocument/2006/relationships/printerSettings" Target="../printerSettings/printerSettings689.bin"/></Relationships>
</file>

<file path=xl/worksheets/_rels/sheet139.xml.rels><?xml version="1.0" encoding="UTF-8" standalone="yes"?>
<Relationships xmlns="http://schemas.openxmlformats.org/package/2006/relationships"><Relationship Id="rId3" Type="http://schemas.openxmlformats.org/officeDocument/2006/relationships/printerSettings" Target="../printerSettings/printerSettings693.bin"/><Relationship Id="rId2" Type="http://schemas.openxmlformats.org/officeDocument/2006/relationships/printerSettings" Target="../printerSettings/printerSettings692.bin"/><Relationship Id="rId1" Type="http://schemas.openxmlformats.org/officeDocument/2006/relationships/printerSettings" Target="../printerSettings/printerSettings691.bin"/><Relationship Id="rId5" Type="http://schemas.openxmlformats.org/officeDocument/2006/relationships/printerSettings" Target="../printerSettings/printerSettings695.bin"/><Relationship Id="rId4" Type="http://schemas.openxmlformats.org/officeDocument/2006/relationships/printerSettings" Target="../printerSettings/printerSettings69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5" Type="http://schemas.openxmlformats.org/officeDocument/2006/relationships/printerSettings" Target="../printerSettings/printerSettings70.bin"/><Relationship Id="rId4" Type="http://schemas.openxmlformats.org/officeDocument/2006/relationships/printerSettings" Target="../printerSettings/printerSettings69.bin"/></Relationships>
</file>

<file path=xl/worksheets/_rels/sheet140.xml.rels><?xml version="1.0" encoding="UTF-8" standalone="yes"?>
<Relationships xmlns="http://schemas.openxmlformats.org/package/2006/relationships"><Relationship Id="rId3" Type="http://schemas.openxmlformats.org/officeDocument/2006/relationships/printerSettings" Target="../printerSettings/printerSettings698.bin"/><Relationship Id="rId2" Type="http://schemas.openxmlformats.org/officeDocument/2006/relationships/printerSettings" Target="../printerSettings/printerSettings697.bin"/><Relationship Id="rId1" Type="http://schemas.openxmlformats.org/officeDocument/2006/relationships/printerSettings" Target="../printerSettings/printerSettings696.bin"/><Relationship Id="rId5" Type="http://schemas.openxmlformats.org/officeDocument/2006/relationships/printerSettings" Target="../printerSettings/printerSettings700.bin"/><Relationship Id="rId4" Type="http://schemas.openxmlformats.org/officeDocument/2006/relationships/printerSettings" Target="../printerSettings/printerSettings699.bin"/></Relationships>
</file>

<file path=xl/worksheets/_rels/sheet141.xml.rels><?xml version="1.0" encoding="UTF-8" standalone="yes"?>
<Relationships xmlns="http://schemas.openxmlformats.org/package/2006/relationships"><Relationship Id="rId3" Type="http://schemas.openxmlformats.org/officeDocument/2006/relationships/printerSettings" Target="../printerSettings/printerSettings703.bin"/><Relationship Id="rId2" Type="http://schemas.openxmlformats.org/officeDocument/2006/relationships/printerSettings" Target="../printerSettings/printerSettings702.bin"/><Relationship Id="rId1" Type="http://schemas.openxmlformats.org/officeDocument/2006/relationships/printerSettings" Target="../printerSettings/printerSettings701.bin"/><Relationship Id="rId5" Type="http://schemas.openxmlformats.org/officeDocument/2006/relationships/printerSettings" Target="../printerSettings/printerSettings705.bin"/><Relationship Id="rId4" Type="http://schemas.openxmlformats.org/officeDocument/2006/relationships/printerSettings" Target="../printerSettings/printerSettings704.bin"/></Relationships>
</file>

<file path=xl/worksheets/_rels/sheet142.xml.rels><?xml version="1.0" encoding="UTF-8" standalone="yes"?>
<Relationships xmlns="http://schemas.openxmlformats.org/package/2006/relationships"><Relationship Id="rId3" Type="http://schemas.openxmlformats.org/officeDocument/2006/relationships/printerSettings" Target="../printerSettings/printerSettings708.bin"/><Relationship Id="rId2" Type="http://schemas.openxmlformats.org/officeDocument/2006/relationships/printerSettings" Target="../printerSettings/printerSettings707.bin"/><Relationship Id="rId1" Type="http://schemas.openxmlformats.org/officeDocument/2006/relationships/printerSettings" Target="../printerSettings/printerSettings706.bin"/><Relationship Id="rId5" Type="http://schemas.openxmlformats.org/officeDocument/2006/relationships/printerSettings" Target="../printerSettings/printerSettings710.bin"/><Relationship Id="rId4" Type="http://schemas.openxmlformats.org/officeDocument/2006/relationships/printerSettings" Target="../printerSettings/printerSettings709.bin"/></Relationships>
</file>

<file path=xl/worksheets/_rels/sheet143.xml.rels><?xml version="1.0" encoding="UTF-8" standalone="yes"?>
<Relationships xmlns="http://schemas.openxmlformats.org/package/2006/relationships"><Relationship Id="rId3" Type="http://schemas.openxmlformats.org/officeDocument/2006/relationships/printerSettings" Target="../printerSettings/printerSettings713.bin"/><Relationship Id="rId2" Type="http://schemas.openxmlformats.org/officeDocument/2006/relationships/printerSettings" Target="../printerSettings/printerSettings712.bin"/><Relationship Id="rId1" Type="http://schemas.openxmlformats.org/officeDocument/2006/relationships/printerSettings" Target="../printerSettings/printerSettings711.bin"/><Relationship Id="rId5" Type="http://schemas.openxmlformats.org/officeDocument/2006/relationships/printerSettings" Target="../printerSettings/printerSettings715.bin"/><Relationship Id="rId4" Type="http://schemas.openxmlformats.org/officeDocument/2006/relationships/printerSettings" Target="../printerSettings/printerSettings714.bin"/></Relationships>
</file>

<file path=xl/worksheets/_rels/sheet144.xml.rels><?xml version="1.0" encoding="UTF-8" standalone="yes"?>
<Relationships xmlns="http://schemas.openxmlformats.org/package/2006/relationships"><Relationship Id="rId3" Type="http://schemas.openxmlformats.org/officeDocument/2006/relationships/printerSettings" Target="../printerSettings/printerSettings718.bin"/><Relationship Id="rId2" Type="http://schemas.openxmlformats.org/officeDocument/2006/relationships/printerSettings" Target="../printerSettings/printerSettings717.bin"/><Relationship Id="rId1" Type="http://schemas.openxmlformats.org/officeDocument/2006/relationships/printerSettings" Target="../printerSettings/printerSettings716.bin"/><Relationship Id="rId5" Type="http://schemas.openxmlformats.org/officeDocument/2006/relationships/printerSettings" Target="../printerSettings/printerSettings720.bin"/><Relationship Id="rId4" Type="http://schemas.openxmlformats.org/officeDocument/2006/relationships/printerSettings" Target="../printerSettings/printerSettings719.bin"/></Relationships>
</file>

<file path=xl/worksheets/_rels/sheet145.xml.rels><?xml version="1.0" encoding="UTF-8" standalone="yes"?>
<Relationships xmlns="http://schemas.openxmlformats.org/package/2006/relationships"><Relationship Id="rId3" Type="http://schemas.openxmlformats.org/officeDocument/2006/relationships/printerSettings" Target="../printerSettings/printerSettings723.bin"/><Relationship Id="rId2" Type="http://schemas.openxmlformats.org/officeDocument/2006/relationships/printerSettings" Target="../printerSettings/printerSettings722.bin"/><Relationship Id="rId1" Type="http://schemas.openxmlformats.org/officeDocument/2006/relationships/printerSettings" Target="../printerSettings/printerSettings721.bin"/><Relationship Id="rId5" Type="http://schemas.openxmlformats.org/officeDocument/2006/relationships/printerSettings" Target="../printerSettings/printerSettings725.bin"/><Relationship Id="rId4" Type="http://schemas.openxmlformats.org/officeDocument/2006/relationships/printerSettings" Target="../printerSettings/printerSettings724.bin"/></Relationships>
</file>

<file path=xl/worksheets/_rels/sheet146.xml.rels><?xml version="1.0" encoding="UTF-8" standalone="yes"?>
<Relationships xmlns="http://schemas.openxmlformats.org/package/2006/relationships"><Relationship Id="rId3" Type="http://schemas.openxmlformats.org/officeDocument/2006/relationships/printerSettings" Target="../printerSettings/printerSettings728.bin"/><Relationship Id="rId2" Type="http://schemas.openxmlformats.org/officeDocument/2006/relationships/printerSettings" Target="../printerSettings/printerSettings727.bin"/><Relationship Id="rId1" Type="http://schemas.openxmlformats.org/officeDocument/2006/relationships/printerSettings" Target="../printerSettings/printerSettings726.bin"/><Relationship Id="rId5" Type="http://schemas.openxmlformats.org/officeDocument/2006/relationships/printerSettings" Target="../printerSettings/printerSettings730.bin"/><Relationship Id="rId4" Type="http://schemas.openxmlformats.org/officeDocument/2006/relationships/printerSettings" Target="../printerSettings/printerSettings729.bin"/></Relationships>
</file>

<file path=xl/worksheets/_rels/sheet147.xml.rels><?xml version="1.0" encoding="UTF-8" standalone="yes"?>
<Relationships xmlns="http://schemas.openxmlformats.org/package/2006/relationships"><Relationship Id="rId3" Type="http://schemas.openxmlformats.org/officeDocument/2006/relationships/printerSettings" Target="../printerSettings/printerSettings733.bin"/><Relationship Id="rId2" Type="http://schemas.openxmlformats.org/officeDocument/2006/relationships/printerSettings" Target="../printerSettings/printerSettings732.bin"/><Relationship Id="rId1" Type="http://schemas.openxmlformats.org/officeDocument/2006/relationships/printerSettings" Target="../printerSettings/printerSettings731.bin"/><Relationship Id="rId5" Type="http://schemas.openxmlformats.org/officeDocument/2006/relationships/printerSettings" Target="../printerSettings/printerSettings735.bin"/><Relationship Id="rId4" Type="http://schemas.openxmlformats.org/officeDocument/2006/relationships/printerSettings" Target="../printerSettings/printerSettings734.bin"/></Relationships>
</file>

<file path=xl/worksheets/_rels/sheet148.xml.rels><?xml version="1.0" encoding="UTF-8" standalone="yes"?>
<Relationships xmlns="http://schemas.openxmlformats.org/package/2006/relationships"><Relationship Id="rId3" Type="http://schemas.openxmlformats.org/officeDocument/2006/relationships/printerSettings" Target="../printerSettings/printerSettings738.bin"/><Relationship Id="rId2" Type="http://schemas.openxmlformats.org/officeDocument/2006/relationships/printerSettings" Target="../printerSettings/printerSettings737.bin"/><Relationship Id="rId1" Type="http://schemas.openxmlformats.org/officeDocument/2006/relationships/printerSettings" Target="../printerSettings/printerSettings736.bin"/><Relationship Id="rId5" Type="http://schemas.openxmlformats.org/officeDocument/2006/relationships/printerSettings" Target="../printerSettings/printerSettings740.bin"/><Relationship Id="rId4" Type="http://schemas.openxmlformats.org/officeDocument/2006/relationships/printerSettings" Target="../printerSettings/printerSettings739.bin"/></Relationships>
</file>

<file path=xl/worksheets/_rels/sheet149.xml.rels><?xml version="1.0" encoding="UTF-8" standalone="yes"?>
<Relationships xmlns="http://schemas.openxmlformats.org/package/2006/relationships"><Relationship Id="rId3" Type="http://schemas.openxmlformats.org/officeDocument/2006/relationships/printerSettings" Target="../printerSettings/printerSettings743.bin"/><Relationship Id="rId2" Type="http://schemas.openxmlformats.org/officeDocument/2006/relationships/printerSettings" Target="../printerSettings/printerSettings742.bin"/><Relationship Id="rId1" Type="http://schemas.openxmlformats.org/officeDocument/2006/relationships/printerSettings" Target="../printerSettings/printerSettings741.bin"/><Relationship Id="rId5" Type="http://schemas.openxmlformats.org/officeDocument/2006/relationships/printerSettings" Target="../printerSettings/printerSettings745.bin"/><Relationship Id="rId4" Type="http://schemas.openxmlformats.org/officeDocument/2006/relationships/printerSettings" Target="../printerSettings/printerSettings74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50.xml.rels><?xml version="1.0" encoding="UTF-8" standalone="yes"?>
<Relationships xmlns="http://schemas.openxmlformats.org/package/2006/relationships"><Relationship Id="rId3" Type="http://schemas.openxmlformats.org/officeDocument/2006/relationships/printerSettings" Target="../printerSettings/printerSettings748.bin"/><Relationship Id="rId2" Type="http://schemas.openxmlformats.org/officeDocument/2006/relationships/printerSettings" Target="../printerSettings/printerSettings747.bin"/><Relationship Id="rId1" Type="http://schemas.openxmlformats.org/officeDocument/2006/relationships/printerSettings" Target="../printerSettings/printerSettings746.bin"/><Relationship Id="rId5" Type="http://schemas.openxmlformats.org/officeDocument/2006/relationships/printerSettings" Target="../printerSettings/printerSettings750.bin"/><Relationship Id="rId4" Type="http://schemas.openxmlformats.org/officeDocument/2006/relationships/printerSettings" Target="../printerSettings/printerSettings749.bin"/></Relationships>
</file>

<file path=xl/worksheets/_rels/sheet151.xml.rels><?xml version="1.0" encoding="UTF-8" standalone="yes"?>
<Relationships xmlns="http://schemas.openxmlformats.org/package/2006/relationships"><Relationship Id="rId3" Type="http://schemas.openxmlformats.org/officeDocument/2006/relationships/printerSettings" Target="../printerSettings/printerSettings753.bin"/><Relationship Id="rId2" Type="http://schemas.openxmlformats.org/officeDocument/2006/relationships/printerSettings" Target="../printerSettings/printerSettings752.bin"/><Relationship Id="rId1" Type="http://schemas.openxmlformats.org/officeDocument/2006/relationships/printerSettings" Target="../printerSettings/printerSettings751.bin"/><Relationship Id="rId5" Type="http://schemas.openxmlformats.org/officeDocument/2006/relationships/printerSettings" Target="../printerSettings/printerSettings755.bin"/><Relationship Id="rId4" Type="http://schemas.openxmlformats.org/officeDocument/2006/relationships/printerSettings" Target="../printerSettings/printerSettings754.bin"/></Relationships>
</file>

<file path=xl/worksheets/_rels/sheet152.xml.rels><?xml version="1.0" encoding="UTF-8" standalone="yes"?>
<Relationships xmlns="http://schemas.openxmlformats.org/package/2006/relationships"><Relationship Id="rId3" Type="http://schemas.openxmlformats.org/officeDocument/2006/relationships/printerSettings" Target="../printerSettings/printerSettings758.bin"/><Relationship Id="rId2" Type="http://schemas.openxmlformats.org/officeDocument/2006/relationships/printerSettings" Target="../printerSettings/printerSettings757.bin"/><Relationship Id="rId1" Type="http://schemas.openxmlformats.org/officeDocument/2006/relationships/printerSettings" Target="../printerSettings/printerSettings756.bin"/><Relationship Id="rId5" Type="http://schemas.openxmlformats.org/officeDocument/2006/relationships/printerSettings" Target="../printerSettings/printerSettings760.bin"/><Relationship Id="rId4" Type="http://schemas.openxmlformats.org/officeDocument/2006/relationships/printerSettings" Target="../printerSettings/printerSettings759.bin"/></Relationships>
</file>

<file path=xl/worksheets/_rels/sheet153.xml.rels><?xml version="1.0" encoding="UTF-8" standalone="yes"?>
<Relationships xmlns="http://schemas.openxmlformats.org/package/2006/relationships"><Relationship Id="rId3" Type="http://schemas.openxmlformats.org/officeDocument/2006/relationships/printerSettings" Target="../printerSettings/printerSettings763.bin"/><Relationship Id="rId2" Type="http://schemas.openxmlformats.org/officeDocument/2006/relationships/printerSettings" Target="../printerSettings/printerSettings762.bin"/><Relationship Id="rId1" Type="http://schemas.openxmlformats.org/officeDocument/2006/relationships/printerSettings" Target="../printerSettings/printerSettings761.bin"/><Relationship Id="rId5" Type="http://schemas.openxmlformats.org/officeDocument/2006/relationships/printerSettings" Target="../printerSettings/printerSettings765.bin"/><Relationship Id="rId4" Type="http://schemas.openxmlformats.org/officeDocument/2006/relationships/printerSettings" Target="../printerSettings/printerSettings764.bin"/></Relationships>
</file>

<file path=xl/worksheets/_rels/sheet154.xml.rels><?xml version="1.0" encoding="UTF-8" standalone="yes"?>
<Relationships xmlns="http://schemas.openxmlformats.org/package/2006/relationships"><Relationship Id="rId3" Type="http://schemas.openxmlformats.org/officeDocument/2006/relationships/printerSettings" Target="../printerSettings/printerSettings768.bin"/><Relationship Id="rId2" Type="http://schemas.openxmlformats.org/officeDocument/2006/relationships/printerSettings" Target="../printerSettings/printerSettings767.bin"/><Relationship Id="rId1" Type="http://schemas.openxmlformats.org/officeDocument/2006/relationships/printerSettings" Target="../printerSettings/printerSettings766.bin"/><Relationship Id="rId5" Type="http://schemas.openxmlformats.org/officeDocument/2006/relationships/printerSettings" Target="../printerSettings/printerSettings770.bin"/><Relationship Id="rId4" Type="http://schemas.openxmlformats.org/officeDocument/2006/relationships/printerSettings" Target="../printerSettings/printerSettings769.bin"/></Relationships>
</file>

<file path=xl/worksheets/_rels/sheet155.xml.rels><?xml version="1.0" encoding="UTF-8" standalone="yes"?>
<Relationships xmlns="http://schemas.openxmlformats.org/package/2006/relationships"><Relationship Id="rId3" Type="http://schemas.openxmlformats.org/officeDocument/2006/relationships/printerSettings" Target="../printerSettings/printerSettings773.bin"/><Relationship Id="rId2" Type="http://schemas.openxmlformats.org/officeDocument/2006/relationships/printerSettings" Target="../printerSettings/printerSettings772.bin"/><Relationship Id="rId1" Type="http://schemas.openxmlformats.org/officeDocument/2006/relationships/printerSettings" Target="../printerSettings/printerSettings771.bin"/><Relationship Id="rId5" Type="http://schemas.openxmlformats.org/officeDocument/2006/relationships/printerSettings" Target="../printerSettings/printerSettings775.bin"/><Relationship Id="rId4" Type="http://schemas.openxmlformats.org/officeDocument/2006/relationships/printerSettings" Target="../printerSettings/printerSettings774.bin"/></Relationships>
</file>

<file path=xl/worksheets/_rels/sheet156.xml.rels><?xml version="1.0" encoding="UTF-8" standalone="yes"?>
<Relationships xmlns="http://schemas.openxmlformats.org/package/2006/relationships"><Relationship Id="rId3" Type="http://schemas.openxmlformats.org/officeDocument/2006/relationships/printerSettings" Target="../printerSettings/printerSettings778.bin"/><Relationship Id="rId2" Type="http://schemas.openxmlformats.org/officeDocument/2006/relationships/printerSettings" Target="../printerSettings/printerSettings777.bin"/><Relationship Id="rId1" Type="http://schemas.openxmlformats.org/officeDocument/2006/relationships/printerSettings" Target="../printerSettings/printerSettings776.bin"/><Relationship Id="rId5" Type="http://schemas.openxmlformats.org/officeDocument/2006/relationships/printerSettings" Target="../printerSettings/printerSettings780.bin"/><Relationship Id="rId4" Type="http://schemas.openxmlformats.org/officeDocument/2006/relationships/printerSettings" Target="../printerSettings/printerSettings779.bin"/></Relationships>
</file>

<file path=xl/worksheets/_rels/sheet157.xml.rels><?xml version="1.0" encoding="UTF-8" standalone="yes"?>
<Relationships xmlns="http://schemas.openxmlformats.org/package/2006/relationships"><Relationship Id="rId3" Type="http://schemas.openxmlformats.org/officeDocument/2006/relationships/printerSettings" Target="../printerSettings/printerSettings783.bin"/><Relationship Id="rId2" Type="http://schemas.openxmlformats.org/officeDocument/2006/relationships/printerSettings" Target="../printerSettings/printerSettings782.bin"/><Relationship Id="rId1" Type="http://schemas.openxmlformats.org/officeDocument/2006/relationships/printerSettings" Target="../printerSettings/printerSettings781.bin"/><Relationship Id="rId5" Type="http://schemas.openxmlformats.org/officeDocument/2006/relationships/printerSettings" Target="../printerSettings/printerSettings785.bin"/><Relationship Id="rId4" Type="http://schemas.openxmlformats.org/officeDocument/2006/relationships/printerSettings" Target="../printerSettings/printerSettings784.bin"/></Relationships>
</file>

<file path=xl/worksheets/_rels/sheet158.xml.rels><?xml version="1.0" encoding="UTF-8" standalone="yes"?>
<Relationships xmlns="http://schemas.openxmlformats.org/package/2006/relationships"><Relationship Id="rId3" Type="http://schemas.openxmlformats.org/officeDocument/2006/relationships/printerSettings" Target="../printerSettings/printerSettings788.bin"/><Relationship Id="rId2" Type="http://schemas.openxmlformats.org/officeDocument/2006/relationships/printerSettings" Target="../printerSettings/printerSettings787.bin"/><Relationship Id="rId1" Type="http://schemas.openxmlformats.org/officeDocument/2006/relationships/printerSettings" Target="../printerSettings/printerSettings786.bin"/><Relationship Id="rId5" Type="http://schemas.openxmlformats.org/officeDocument/2006/relationships/printerSettings" Target="../printerSettings/printerSettings790.bin"/><Relationship Id="rId4" Type="http://schemas.openxmlformats.org/officeDocument/2006/relationships/printerSettings" Target="../printerSettings/printerSettings789.bin"/></Relationships>
</file>

<file path=xl/worksheets/_rels/sheet159.xml.rels><?xml version="1.0" encoding="UTF-8" standalone="yes"?>
<Relationships xmlns="http://schemas.openxmlformats.org/package/2006/relationships"><Relationship Id="rId3" Type="http://schemas.openxmlformats.org/officeDocument/2006/relationships/printerSettings" Target="../printerSettings/printerSettings793.bin"/><Relationship Id="rId2" Type="http://schemas.openxmlformats.org/officeDocument/2006/relationships/printerSettings" Target="../printerSettings/printerSettings792.bin"/><Relationship Id="rId1" Type="http://schemas.openxmlformats.org/officeDocument/2006/relationships/printerSettings" Target="../printerSettings/printerSettings791.bin"/><Relationship Id="rId5" Type="http://schemas.openxmlformats.org/officeDocument/2006/relationships/printerSettings" Target="../printerSettings/printerSettings795.bin"/><Relationship Id="rId4" Type="http://schemas.openxmlformats.org/officeDocument/2006/relationships/printerSettings" Target="../printerSettings/printerSettings79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5" Type="http://schemas.openxmlformats.org/officeDocument/2006/relationships/printerSettings" Target="../printerSettings/printerSettings80.bin"/><Relationship Id="rId4" Type="http://schemas.openxmlformats.org/officeDocument/2006/relationships/printerSettings" Target="../printerSettings/printerSettings79.bin"/></Relationships>
</file>

<file path=xl/worksheets/_rels/sheet160.xml.rels><?xml version="1.0" encoding="UTF-8" standalone="yes"?>
<Relationships xmlns="http://schemas.openxmlformats.org/package/2006/relationships"><Relationship Id="rId3" Type="http://schemas.openxmlformats.org/officeDocument/2006/relationships/printerSettings" Target="../printerSettings/printerSettings798.bin"/><Relationship Id="rId2" Type="http://schemas.openxmlformats.org/officeDocument/2006/relationships/printerSettings" Target="../printerSettings/printerSettings797.bin"/><Relationship Id="rId1" Type="http://schemas.openxmlformats.org/officeDocument/2006/relationships/printerSettings" Target="../printerSettings/printerSettings796.bin"/><Relationship Id="rId5" Type="http://schemas.openxmlformats.org/officeDocument/2006/relationships/printerSettings" Target="../printerSettings/printerSettings800.bin"/><Relationship Id="rId4" Type="http://schemas.openxmlformats.org/officeDocument/2006/relationships/printerSettings" Target="../printerSettings/printerSettings799.bin"/></Relationships>
</file>

<file path=xl/worksheets/_rels/sheet161.xml.rels><?xml version="1.0" encoding="UTF-8" standalone="yes"?>
<Relationships xmlns="http://schemas.openxmlformats.org/package/2006/relationships"><Relationship Id="rId3" Type="http://schemas.openxmlformats.org/officeDocument/2006/relationships/printerSettings" Target="../printerSettings/printerSettings803.bin"/><Relationship Id="rId2" Type="http://schemas.openxmlformats.org/officeDocument/2006/relationships/printerSettings" Target="../printerSettings/printerSettings802.bin"/><Relationship Id="rId1" Type="http://schemas.openxmlformats.org/officeDocument/2006/relationships/printerSettings" Target="../printerSettings/printerSettings801.bin"/><Relationship Id="rId5" Type="http://schemas.openxmlformats.org/officeDocument/2006/relationships/printerSettings" Target="../printerSettings/printerSettings805.bin"/><Relationship Id="rId4" Type="http://schemas.openxmlformats.org/officeDocument/2006/relationships/printerSettings" Target="../printerSettings/printerSettings804.bin"/></Relationships>
</file>

<file path=xl/worksheets/_rels/sheet162.xml.rels><?xml version="1.0" encoding="UTF-8" standalone="yes"?>
<Relationships xmlns="http://schemas.openxmlformats.org/package/2006/relationships"><Relationship Id="rId3" Type="http://schemas.openxmlformats.org/officeDocument/2006/relationships/printerSettings" Target="../printerSettings/printerSettings808.bin"/><Relationship Id="rId2" Type="http://schemas.openxmlformats.org/officeDocument/2006/relationships/printerSettings" Target="../printerSettings/printerSettings807.bin"/><Relationship Id="rId1" Type="http://schemas.openxmlformats.org/officeDocument/2006/relationships/printerSettings" Target="../printerSettings/printerSettings806.bin"/><Relationship Id="rId5" Type="http://schemas.openxmlformats.org/officeDocument/2006/relationships/printerSettings" Target="../printerSettings/printerSettings810.bin"/><Relationship Id="rId4" Type="http://schemas.openxmlformats.org/officeDocument/2006/relationships/printerSettings" Target="../printerSettings/printerSettings809.bin"/></Relationships>
</file>

<file path=xl/worksheets/_rels/sheet163.xml.rels><?xml version="1.0" encoding="UTF-8" standalone="yes"?>
<Relationships xmlns="http://schemas.openxmlformats.org/package/2006/relationships"><Relationship Id="rId3" Type="http://schemas.openxmlformats.org/officeDocument/2006/relationships/printerSettings" Target="../printerSettings/printerSettings813.bin"/><Relationship Id="rId2" Type="http://schemas.openxmlformats.org/officeDocument/2006/relationships/printerSettings" Target="../printerSettings/printerSettings812.bin"/><Relationship Id="rId1" Type="http://schemas.openxmlformats.org/officeDocument/2006/relationships/printerSettings" Target="../printerSettings/printerSettings811.bin"/><Relationship Id="rId5" Type="http://schemas.openxmlformats.org/officeDocument/2006/relationships/printerSettings" Target="../printerSettings/printerSettings815.bin"/><Relationship Id="rId4" Type="http://schemas.openxmlformats.org/officeDocument/2006/relationships/printerSettings" Target="../printerSettings/printerSettings814.bin"/></Relationships>
</file>

<file path=xl/worksheets/_rels/sheet164.xml.rels><?xml version="1.0" encoding="UTF-8" standalone="yes"?>
<Relationships xmlns="http://schemas.openxmlformats.org/package/2006/relationships"><Relationship Id="rId3" Type="http://schemas.openxmlformats.org/officeDocument/2006/relationships/printerSettings" Target="../printerSettings/printerSettings818.bin"/><Relationship Id="rId2" Type="http://schemas.openxmlformats.org/officeDocument/2006/relationships/printerSettings" Target="../printerSettings/printerSettings817.bin"/><Relationship Id="rId1" Type="http://schemas.openxmlformats.org/officeDocument/2006/relationships/printerSettings" Target="../printerSettings/printerSettings816.bin"/><Relationship Id="rId5" Type="http://schemas.openxmlformats.org/officeDocument/2006/relationships/printerSettings" Target="../printerSettings/printerSettings820.bin"/><Relationship Id="rId4" Type="http://schemas.openxmlformats.org/officeDocument/2006/relationships/printerSettings" Target="../printerSettings/printerSettings819.bin"/></Relationships>
</file>

<file path=xl/worksheets/_rels/sheet165.xml.rels><?xml version="1.0" encoding="UTF-8" standalone="yes"?>
<Relationships xmlns="http://schemas.openxmlformats.org/package/2006/relationships"><Relationship Id="rId3" Type="http://schemas.openxmlformats.org/officeDocument/2006/relationships/printerSettings" Target="../printerSettings/printerSettings823.bin"/><Relationship Id="rId2" Type="http://schemas.openxmlformats.org/officeDocument/2006/relationships/printerSettings" Target="../printerSettings/printerSettings822.bin"/><Relationship Id="rId1" Type="http://schemas.openxmlformats.org/officeDocument/2006/relationships/printerSettings" Target="../printerSettings/printerSettings821.bin"/><Relationship Id="rId5" Type="http://schemas.openxmlformats.org/officeDocument/2006/relationships/printerSettings" Target="../printerSettings/printerSettings825.bin"/><Relationship Id="rId4" Type="http://schemas.openxmlformats.org/officeDocument/2006/relationships/printerSettings" Target="../printerSettings/printerSettings824.bin"/></Relationships>
</file>

<file path=xl/worksheets/_rels/sheet166.xml.rels><?xml version="1.0" encoding="UTF-8" standalone="yes"?>
<Relationships xmlns="http://schemas.openxmlformats.org/package/2006/relationships"><Relationship Id="rId3" Type="http://schemas.openxmlformats.org/officeDocument/2006/relationships/printerSettings" Target="../printerSettings/printerSettings828.bin"/><Relationship Id="rId2" Type="http://schemas.openxmlformats.org/officeDocument/2006/relationships/printerSettings" Target="../printerSettings/printerSettings827.bin"/><Relationship Id="rId1" Type="http://schemas.openxmlformats.org/officeDocument/2006/relationships/printerSettings" Target="../printerSettings/printerSettings826.bin"/><Relationship Id="rId5" Type="http://schemas.openxmlformats.org/officeDocument/2006/relationships/printerSettings" Target="../printerSettings/printerSettings830.bin"/><Relationship Id="rId4" Type="http://schemas.openxmlformats.org/officeDocument/2006/relationships/printerSettings" Target="../printerSettings/printerSettings829.bin"/></Relationships>
</file>

<file path=xl/worksheets/_rels/sheet167.xml.rels><?xml version="1.0" encoding="UTF-8" standalone="yes"?>
<Relationships xmlns="http://schemas.openxmlformats.org/package/2006/relationships"><Relationship Id="rId3" Type="http://schemas.openxmlformats.org/officeDocument/2006/relationships/printerSettings" Target="../printerSettings/printerSettings833.bin"/><Relationship Id="rId2" Type="http://schemas.openxmlformats.org/officeDocument/2006/relationships/printerSettings" Target="../printerSettings/printerSettings832.bin"/><Relationship Id="rId1" Type="http://schemas.openxmlformats.org/officeDocument/2006/relationships/printerSettings" Target="../printerSettings/printerSettings831.bin"/><Relationship Id="rId5" Type="http://schemas.openxmlformats.org/officeDocument/2006/relationships/printerSettings" Target="../printerSettings/printerSettings835.bin"/><Relationship Id="rId4" Type="http://schemas.openxmlformats.org/officeDocument/2006/relationships/printerSettings" Target="../printerSettings/printerSettings834.bin"/></Relationships>
</file>

<file path=xl/worksheets/_rels/sheet168.xml.rels><?xml version="1.0" encoding="UTF-8" standalone="yes"?>
<Relationships xmlns="http://schemas.openxmlformats.org/package/2006/relationships"><Relationship Id="rId3" Type="http://schemas.openxmlformats.org/officeDocument/2006/relationships/printerSettings" Target="../printerSettings/printerSettings838.bin"/><Relationship Id="rId2" Type="http://schemas.openxmlformats.org/officeDocument/2006/relationships/printerSettings" Target="../printerSettings/printerSettings837.bin"/><Relationship Id="rId1" Type="http://schemas.openxmlformats.org/officeDocument/2006/relationships/printerSettings" Target="../printerSettings/printerSettings836.bin"/><Relationship Id="rId5" Type="http://schemas.openxmlformats.org/officeDocument/2006/relationships/printerSettings" Target="../printerSettings/printerSettings840.bin"/><Relationship Id="rId4" Type="http://schemas.openxmlformats.org/officeDocument/2006/relationships/printerSettings" Target="../printerSettings/printerSettings839.bin"/></Relationships>
</file>

<file path=xl/worksheets/_rels/sheet169.xml.rels><?xml version="1.0" encoding="UTF-8" standalone="yes"?>
<Relationships xmlns="http://schemas.openxmlformats.org/package/2006/relationships"><Relationship Id="rId3" Type="http://schemas.openxmlformats.org/officeDocument/2006/relationships/printerSettings" Target="../printerSettings/printerSettings843.bin"/><Relationship Id="rId2" Type="http://schemas.openxmlformats.org/officeDocument/2006/relationships/printerSettings" Target="../printerSettings/printerSettings842.bin"/><Relationship Id="rId1" Type="http://schemas.openxmlformats.org/officeDocument/2006/relationships/printerSettings" Target="../printerSettings/printerSettings841.bin"/><Relationship Id="rId5" Type="http://schemas.openxmlformats.org/officeDocument/2006/relationships/printerSettings" Target="../printerSettings/printerSettings845.bin"/><Relationship Id="rId4" Type="http://schemas.openxmlformats.org/officeDocument/2006/relationships/printerSettings" Target="../printerSettings/printerSettings84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70.xml.rels><?xml version="1.0" encoding="UTF-8" standalone="yes"?>
<Relationships xmlns="http://schemas.openxmlformats.org/package/2006/relationships"><Relationship Id="rId3" Type="http://schemas.openxmlformats.org/officeDocument/2006/relationships/printerSettings" Target="../printerSettings/printerSettings848.bin"/><Relationship Id="rId2" Type="http://schemas.openxmlformats.org/officeDocument/2006/relationships/printerSettings" Target="../printerSettings/printerSettings847.bin"/><Relationship Id="rId1" Type="http://schemas.openxmlformats.org/officeDocument/2006/relationships/printerSettings" Target="../printerSettings/printerSettings846.bin"/><Relationship Id="rId5" Type="http://schemas.openxmlformats.org/officeDocument/2006/relationships/printerSettings" Target="../printerSettings/printerSettings850.bin"/><Relationship Id="rId4" Type="http://schemas.openxmlformats.org/officeDocument/2006/relationships/printerSettings" Target="../printerSettings/printerSettings849.bin"/></Relationships>
</file>

<file path=xl/worksheets/_rels/sheet171.xml.rels><?xml version="1.0" encoding="UTF-8" standalone="yes"?>
<Relationships xmlns="http://schemas.openxmlformats.org/package/2006/relationships"><Relationship Id="rId3" Type="http://schemas.openxmlformats.org/officeDocument/2006/relationships/printerSettings" Target="../printerSettings/printerSettings853.bin"/><Relationship Id="rId2" Type="http://schemas.openxmlformats.org/officeDocument/2006/relationships/printerSettings" Target="../printerSettings/printerSettings852.bin"/><Relationship Id="rId1" Type="http://schemas.openxmlformats.org/officeDocument/2006/relationships/printerSettings" Target="../printerSettings/printerSettings851.bin"/><Relationship Id="rId5" Type="http://schemas.openxmlformats.org/officeDocument/2006/relationships/printerSettings" Target="../printerSettings/printerSettings855.bin"/><Relationship Id="rId4" Type="http://schemas.openxmlformats.org/officeDocument/2006/relationships/printerSettings" Target="../printerSettings/printerSettings854.bin"/></Relationships>
</file>

<file path=xl/worksheets/_rels/sheet172.xml.rels><?xml version="1.0" encoding="UTF-8" standalone="yes"?>
<Relationships xmlns="http://schemas.openxmlformats.org/package/2006/relationships"><Relationship Id="rId3" Type="http://schemas.openxmlformats.org/officeDocument/2006/relationships/printerSettings" Target="../printerSettings/printerSettings858.bin"/><Relationship Id="rId2" Type="http://schemas.openxmlformats.org/officeDocument/2006/relationships/printerSettings" Target="../printerSettings/printerSettings857.bin"/><Relationship Id="rId1" Type="http://schemas.openxmlformats.org/officeDocument/2006/relationships/printerSettings" Target="../printerSettings/printerSettings856.bin"/><Relationship Id="rId5" Type="http://schemas.openxmlformats.org/officeDocument/2006/relationships/printerSettings" Target="../printerSettings/printerSettings860.bin"/><Relationship Id="rId4" Type="http://schemas.openxmlformats.org/officeDocument/2006/relationships/printerSettings" Target="../printerSettings/printerSettings859.bin"/></Relationships>
</file>

<file path=xl/worksheets/_rels/sheet173.xml.rels><?xml version="1.0" encoding="UTF-8" standalone="yes"?>
<Relationships xmlns="http://schemas.openxmlformats.org/package/2006/relationships"><Relationship Id="rId3" Type="http://schemas.openxmlformats.org/officeDocument/2006/relationships/printerSettings" Target="../printerSettings/printerSettings863.bin"/><Relationship Id="rId2" Type="http://schemas.openxmlformats.org/officeDocument/2006/relationships/printerSettings" Target="../printerSettings/printerSettings862.bin"/><Relationship Id="rId1" Type="http://schemas.openxmlformats.org/officeDocument/2006/relationships/printerSettings" Target="../printerSettings/printerSettings861.bin"/><Relationship Id="rId5" Type="http://schemas.openxmlformats.org/officeDocument/2006/relationships/printerSettings" Target="../printerSettings/printerSettings865.bin"/><Relationship Id="rId4" Type="http://schemas.openxmlformats.org/officeDocument/2006/relationships/printerSettings" Target="../printerSettings/printerSettings864.bin"/></Relationships>
</file>

<file path=xl/worksheets/_rels/sheet174.xml.rels><?xml version="1.0" encoding="UTF-8" standalone="yes"?>
<Relationships xmlns="http://schemas.openxmlformats.org/package/2006/relationships"><Relationship Id="rId3" Type="http://schemas.openxmlformats.org/officeDocument/2006/relationships/printerSettings" Target="../printerSettings/printerSettings868.bin"/><Relationship Id="rId2" Type="http://schemas.openxmlformats.org/officeDocument/2006/relationships/printerSettings" Target="../printerSettings/printerSettings867.bin"/><Relationship Id="rId1" Type="http://schemas.openxmlformats.org/officeDocument/2006/relationships/printerSettings" Target="../printerSettings/printerSettings866.bin"/><Relationship Id="rId5" Type="http://schemas.openxmlformats.org/officeDocument/2006/relationships/printerSettings" Target="../printerSettings/printerSettings870.bin"/><Relationship Id="rId4" Type="http://schemas.openxmlformats.org/officeDocument/2006/relationships/printerSettings" Target="../printerSettings/printerSettings869.bin"/></Relationships>
</file>

<file path=xl/worksheets/_rels/sheet175.xml.rels><?xml version="1.0" encoding="UTF-8" standalone="yes"?>
<Relationships xmlns="http://schemas.openxmlformats.org/package/2006/relationships"><Relationship Id="rId3" Type="http://schemas.openxmlformats.org/officeDocument/2006/relationships/printerSettings" Target="../printerSettings/printerSettings873.bin"/><Relationship Id="rId2" Type="http://schemas.openxmlformats.org/officeDocument/2006/relationships/printerSettings" Target="../printerSettings/printerSettings872.bin"/><Relationship Id="rId1" Type="http://schemas.openxmlformats.org/officeDocument/2006/relationships/printerSettings" Target="../printerSettings/printerSettings871.bin"/><Relationship Id="rId5" Type="http://schemas.openxmlformats.org/officeDocument/2006/relationships/printerSettings" Target="../printerSettings/printerSettings875.bin"/><Relationship Id="rId4" Type="http://schemas.openxmlformats.org/officeDocument/2006/relationships/printerSettings" Target="../printerSettings/printerSettings874.bin"/></Relationships>
</file>

<file path=xl/worksheets/_rels/sheet176.xml.rels><?xml version="1.0" encoding="UTF-8" standalone="yes"?>
<Relationships xmlns="http://schemas.openxmlformats.org/package/2006/relationships"><Relationship Id="rId3" Type="http://schemas.openxmlformats.org/officeDocument/2006/relationships/printerSettings" Target="../printerSettings/printerSettings878.bin"/><Relationship Id="rId2" Type="http://schemas.openxmlformats.org/officeDocument/2006/relationships/printerSettings" Target="../printerSettings/printerSettings877.bin"/><Relationship Id="rId1" Type="http://schemas.openxmlformats.org/officeDocument/2006/relationships/printerSettings" Target="../printerSettings/printerSettings876.bin"/><Relationship Id="rId5" Type="http://schemas.openxmlformats.org/officeDocument/2006/relationships/printerSettings" Target="../printerSettings/printerSettings880.bin"/><Relationship Id="rId4" Type="http://schemas.openxmlformats.org/officeDocument/2006/relationships/printerSettings" Target="../printerSettings/printerSettings879.bin"/></Relationships>
</file>

<file path=xl/worksheets/_rels/sheet177.xml.rels><?xml version="1.0" encoding="UTF-8" standalone="yes"?>
<Relationships xmlns="http://schemas.openxmlformats.org/package/2006/relationships"><Relationship Id="rId3" Type="http://schemas.openxmlformats.org/officeDocument/2006/relationships/printerSettings" Target="../printerSettings/printerSettings883.bin"/><Relationship Id="rId2" Type="http://schemas.openxmlformats.org/officeDocument/2006/relationships/printerSettings" Target="../printerSettings/printerSettings882.bin"/><Relationship Id="rId1" Type="http://schemas.openxmlformats.org/officeDocument/2006/relationships/printerSettings" Target="../printerSettings/printerSettings881.bin"/><Relationship Id="rId5" Type="http://schemas.openxmlformats.org/officeDocument/2006/relationships/printerSettings" Target="../printerSettings/printerSettings885.bin"/><Relationship Id="rId4" Type="http://schemas.openxmlformats.org/officeDocument/2006/relationships/printerSettings" Target="../printerSettings/printerSettings884.bin"/></Relationships>
</file>

<file path=xl/worksheets/_rels/sheet178.xml.rels><?xml version="1.0" encoding="UTF-8" standalone="yes"?>
<Relationships xmlns="http://schemas.openxmlformats.org/package/2006/relationships"><Relationship Id="rId3" Type="http://schemas.openxmlformats.org/officeDocument/2006/relationships/printerSettings" Target="../printerSettings/printerSettings888.bin"/><Relationship Id="rId2" Type="http://schemas.openxmlformats.org/officeDocument/2006/relationships/printerSettings" Target="../printerSettings/printerSettings887.bin"/><Relationship Id="rId1" Type="http://schemas.openxmlformats.org/officeDocument/2006/relationships/printerSettings" Target="../printerSettings/printerSettings886.bin"/><Relationship Id="rId5" Type="http://schemas.openxmlformats.org/officeDocument/2006/relationships/printerSettings" Target="../printerSettings/printerSettings890.bin"/><Relationship Id="rId4" Type="http://schemas.openxmlformats.org/officeDocument/2006/relationships/printerSettings" Target="../printerSettings/printerSettings889.bin"/></Relationships>
</file>

<file path=xl/worksheets/_rels/sheet179.xml.rels><?xml version="1.0" encoding="UTF-8" standalone="yes"?>
<Relationships xmlns="http://schemas.openxmlformats.org/package/2006/relationships"><Relationship Id="rId3" Type="http://schemas.openxmlformats.org/officeDocument/2006/relationships/printerSettings" Target="../printerSettings/printerSettings893.bin"/><Relationship Id="rId2" Type="http://schemas.openxmlformats.org/officeDocument/2006/relationships/printerSettings" Target="../printerSettings/printerSettings892.bin"/><Relationship Id="rId1" Type="http://schemas.openxmlformats.org/officeDocument/2006/relationships/printerSettings" Target="../printerSettings/printerSettings891.bin"/><Relationship Id="rId5" Type="http://schemas.openxmlformats.org/officeDocument/2006/relationships/printerSettings" Target="../printerSettings/printerSettings895.bin"/><Relationship Id="rId4" Type="http://schemas.openxmlformats.org/officeDocument/2006/relationships/printerSettings" Target="../printerSettings/printerSettings89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180.xml.rels><?xml version="1.0" encoding="UTF-8" standalone="yes"?>
<Relationships xmlns="http://schemas.openxmlformats.org/package/2006/relationships"><Relationship Id="rId3" Type="http://schemas.openxmlformats.org/officeDocument/2006/relationships/printerSettings" Target="../printerSettings/printerSettings898.bin"/><Relationship Id="rId2" Type="http://schemas.openxmlformats.org/officeDocument/2006/relationships/printerSettings" Target="../printerSettings/printerSettings897.bin"/><Relationship Id="rId1" Type="http://schemas.openxmlformats.org/officeDocument/2006/relationships/printerSettings" Target="../printerSettings/printerSettings896.bin"/><Relationship Id="rId5" Type="http://schemas.openxmlformats.org/officeDocument/2006/relationships/printerSettings" Target="../printerSettings/printerSettings900.bin"/><Relationship Id="rId4" Type="http://schemas.openxmlformats.org/officeDocument/2006/relationships/printerSettings" Target="../printerSettings/printerSettings899.bin"/></Relationships>
</file>

<file path=xl/worksheets/_rels/sheet181.xml.rels><?xml version="1.0" encoding="UTF-8" standalone="yes"?>
<Relationships xmlns="http://schemas.openxmlformats.org/package/2006/relationships"><Relationship Id="rId3" Type="http://schemas.openxmlformats.org/officeDocument/2006/relationships/printerSettings" Target="../printerSettings/printerSettings903.bin"/><Relationship Id="rId2" Type="http://schemas.openxmlformats.org/officeDocument/2006/relationships/printerSettings" Target="../printerSettings/printerSettings902.bin"/><Relationship Id="rId1" Type="http://schemas.openxmlformats.org/officeDocument/2006/relationships/printerSettings" Target="../printerSettings/printerSettings901.bin"/><Relationship Id="rId5" Type="http://schemas.openxmlformats.org/officeDocument/2006/relationships/printerSettings" Target="../printerSettings/printerSettings905.bin"/><Relationship Id="rId4" Type="http://schemas.openxmlformats.org/officeDocument/2006/relationships/printerSettings" Target="../printerSettings/printerSettings904.bin"/></Relationships>
</file>

<file path=xl/worksheets/_rels/sheet182.xml.rels><?xml version="1.0" encoding="UTF-8" standalone="yes"?>
<Relationships xmlns="http://schemas.openxmlformats.org/package/2006/relationships"><Relationship Id="rId3" Type="http://schemas.openxmlformats.org/officeDocument/2006/relationships/printerSettings" Target="../printerSettings/printerSettings908.bin"/><Relationship Id="rId2" Type="http://schemas.openxmlformats.org/officeDocument/2006/relationships/printerSettings" Target="../printerSettings/printerSettings907.bin"/><Relationship Id="rId1" Type="http://schemas.openxmlformats.org/officeDocument/2006/relationships/printerSettings" Target="../printerSettings/printerSettings906.bin"/><Relationship Id="rId5" Type="http://schemas.openxmlformats.org/officeDocument/2006/relationships/printerSettings" Target="../printerSettings/printerSettings910.bin"/><Relationship Id="rId4" Type="http://schemas.openxmlformats.org/officeDocument/2006/relationships/printerSettings" Target="../printerSettings/printerSettings909.bin"/></Relationships>
</file>

<file path=xl/worksheets/_rels/sheet183.xml.rels><?xml version="1.0" encoding="UTF-8" standalone="yes"?>
<Relationships xmlns="http://schemas.openxmlformats.org/package/2006/relationships"><Relationship Id="rId3" Type="http://schemas.openxmlformats.org/officeDocument/2006/relationships/printerSettings" Target="../printerSettings/printerSettings913.bin"/><Relationship Id="rId2" Type="http://schemas.openxmlformats.org/officeDocument/2006/relationships/printerSettings" Target="../printerSettings/printerSettings912.bin"/><Relationship Id="rId1" Type="http://schemas.openxmlformats.org/officeDocument/2006/relationships/printerSettings" Target="../printerSettings/printerSettings911.bin"/><Relationship Id="rId5" Type="http://schemas.openxmlformats.org/officeDocument/2006/relationships/printerSettings" Target="../printerSettings/printerSettings915.bin"/><Relationship Id="rId4" Type="http://schemas.openxmlformats.org/officeDocument/2006/relationships/printerSettings" Target="../printerSettings/printerSettings914.bin"/></Relationships>
</file>

<file path=xl/worksheets/_rels/sheet184.xml.rels><?xml version="1.0" encoding="UTF-8" standalone="yes"?>
<Relationships xmlns="http://schemas.openxmlformats.org/package/2006/relationships"><Relationship Id="rId3" Type="http://schemas.openxmlformats.org/officeDocument/2006/relationships/printerSettings" Target="../printerSettings/printerSettings918.bin"/><Relationship Id="rId2" Type="http://schemas.openxmlformats.org/officeDocument/2006/relationships/printerSettings" Target="../printerSettings/printerSettings917.bin"/><Relationship Id="rId1" Type="http://schemas.openxmlformats.org/officeDocument/2006/relationships/printerSettings" Target="../printerSettings/printerSettings916.bin"/><Relationship Id="rId5" Type="http://schemas.openxmlformats.org/officeDocument/2006/relationships/printerSettings" Target="../printerSettings/printerSettings920.bin"/><Relationship Id="rId4" Type="http://schemas.openxmlformats.org/officeDocument/2006/relationships/printerSettings" Target="../printerSettings/printerSettings919.bin"/></Relationships>
</file>

<file path=xl/worksheets/_rels/sheet185.xml.rels><?xml version="1.0" encoding="UTF-8" standalone="yes"?>
<Relationships xmlns="http://schemas.openxmlformats.org/package/2006/relationships"><Relationship Id="rId3" Type="http://schemas.openxmlformats.org/officeDocument/2006/relationships/printerSettings" Target="../printerSettings/printerSettings923.bin"/><Relationship Id="rId2" Type="http://schemas.openxmlformats.org/officeDocument/2006/relationships/printerSettings" Target="../printerSettings/printerSettings922.bin"/><Relationship Id="rId1" Type="http://schemas.openxmlformats.org/officeDocument/2006/relationships/printerSettings" Target="../printerSettings/printerSettings921.bin"/><Relationship Id="rId5" Type="http://schemas.openxmlformats.org/officeDocument/2006/relationships/printerSettings" Target="../printerSettings/printerSettings925.bin"/><Relationship Id="rId4" Type="http://schemas.openxmlformats.org/officeDocument/2006/relationships/printerSettings" Target="../printerSettings/printerSettings924.bin"/></Relationships>
</file>

<file path=xl/worksheets/_rels/sheet186.xml.rels><?xml version="1.0" encoding="UTF-8" standalone="yes"?>
<Relationships xmlns="http://schemas.openxmlformats.org/package/2006/relationships"><Relationship Id="rId3" Type="http://schemas.openxmlformats.org/officeDocument/2006/relationships/printerSettings" Target="../printerSettings/printerSettings928.bin"/><Relationship Id="rId2" Type="http://schemas.openxmlformats.org/officeDocument/2006/relationships/printerSettings" Target="../printerSettings/printerSettings927.bin"/><Relationship Id="rId1" Type="http://schemas.openxmlformats.org/officeDocument/2006/relationships/printerSettings" Target="../printerSettings/printerSettings926.bin"/><Relationship Id="rId5" Type="http://schemas.openxmlformats.org/officeDocument/2006/relationships/printerSettings" Target="../printerSettings/printerSettings930.bin"/><Relationship Id="rId4" Type="http://schemas.openxmlformats.org/officeDocument/2006/relationships/printerSettings" Target="../printerSettings/printerSettings929.bin"/></Relationships>
</file>

<file path=xl/worksheets/_rels/sheet187.xml.rels><?xml version="1.0" encoding="UTF-8" standalone="yes"?>
<Relationships xmlns="http://schemas.openxmlformats.org/package/2006/relationships"><Relationship Id="rId3" Type="http://schemas.openxmlformats.org/officeDocument/2006/relationships/printerSettings" Target="../printerSettings/printerSettings933.bin"/><Relationship Id="rId2" Type="http://schemas.openxmlformats.org/officeDocument/2006/relationships/printerSettings" Target="../printerSettings/printerSettings932.bin"/><Relationship Id="rId1" Type="http://schemas.openxmlformats.org/officeDocument/2006/relationships/printerSettings" Target="../printerSettings/printerSettings931.bin"/><Relationship Id="rId5" Type="http://schemas.openxmlformats.org/officeDocument/2006/relationships/printerSettings" Target="../printerSettings/printerSettings935.bin"/><Relationship Id="rId4" Type="http://schemas.openxmlformats.org/officeDocument/2006/relationships/printerSettings" Target="../printerSettings/printerSettings934.bin"/></Relationships>
</file>

<file path=xl/worksheets/_rels/sheet188.xml.rels><?xml version="1.0" encoding="UTF-8" standalone="yes"?>
<Relationships xmlns="http://schemas.openxmlformats.org/package/2006/relationships"><Relationship Id="rId3" Type="http://schemas.openxmlformats.org/officeDocument/2006/relationships/printerSettings" Target="../printerSettings/printerSettings938.bin"/><Relationship Id="rId2" Type="http://schemas.openxmlformats.org/officeDocument/2006/relationships/printerSettings" Target="../printerSettings/printerSettings937.bin"/><Relationship Id="rId1" Type="http://schemas.openxmlformats.org/officeDocument/2006/relationships/printerSettings" Target="../printerSettings/printerSettings936.bin"/><Relationship Id="rId5" Type="http://schemas.openxmlformats.org/officeDocument/2006/relationships/printerSettings" Target="../printerSettings/printerSettings940.bin"/><Relationship Id="rId4" Type="http://schemas.openxmlformats.org/officeDocument/2006/relationships/printerSettings" Target="../printerSettings/printerSettings939.bin"/></Relationships>
</file>

<file path=xl/worksheets/_rels/sheet189.xml.rels><?xml version="1.0" encoding="UTF-8" standalone="yes"?>
<Relationships xmlns="http://schemas.openxmlformats.org/package/2006/relationships"><Relationship Id="rId3" Type="http://schemas.openxmlformats.org/officeDocument/2006/relationships/printerSettings" Target="../printerSettings/printerSettings943.bin"/><Relationship Id="rId2" Type="http://schemas.openxmlformats.org/officeDocument/2006/relationships/printerSettings" Target="../printerSettings/printerSettings942.bin"/><Relationship Id="rId1" Type="http://schemas.openxmlformats.org/officeDocument/2006/relationships/printerSettings" Target="../printerSettings/printerSettings941.bin"/><Relationship Id="rId5" Type="http://schemas.openxmlformats.org/officeDocument/2006/relationships/printerSettings" Target="../printerSettings/printerSettings945.bin"/><Relationship Id="rId4" Type="http://schemas.openxmlformats.org/officeDocument/2006/relationships/printerSettings" Target="../printerSettings/printerSettings94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5" Type="http://schemas.openxmlformats.org/officeDocument/2006/relationships/printerSettings" Target="../printerSettings/printerSettings95.bin"/><Relationship Id="rId4" Type="http://schemas.openxmlformats.org/officeDocument/2006/relationships/printerSettings" Target="../printerSettings/printerSettings94.bin"/></Relationships>
</file>

<file path=xl/worksheets/_rels/sheet190.xml.rels><?xml version="1.0" encoding="UTF-8" standalone="yes"?>
<Relationships xmlns="http://schemas.openxmlformats.org/package/2006/relationships"><Relationship Id="rId3" Type="http://schemas.openxmlformats.org/officeDocument/2006/relationships/printerSettings" Target="../printerSettings/printerSettings948.bin"/><Relationship Id="rId2" Type="http://schemas.openxmlformats.org/officeDocument/2006/relationships/printerSettings" Target="../printerSettings/printerSettings947.bin"/><Relationship Id="rId1" Type="http://schemas.openxmlformats.org/officeDocument/2006/relationships/printerSettings" Target="../printerSettings/printerSettings946.bin"/><Relationship Id="rId5" Type="http://schemas.openxmlformats.org/officeDocument/2006/relationships/printerSettings" Target="../printerSettings/printerSettings950.bin"/><Relationship Id="rId4" Type="http://schemas.openxmlformats.org/officeDocument/2006/relationships/printerSettings" Target="../printerSettings/printerSettings949.bin"/></Relationships>
</file>

<file path=xl/worksheets/_rels/sheet191.xml.rels><?xml version="1.0" encoding="UTF-8" standalone="yes"?>
<Relationships xmlns="http://schemas.openxmlformats.org/package/2006/relationships"><Relationship Id="rId3" Type="http://schemas.openxmlformats.org/officeDocument/2006/relationships/printerSettings" Target="../printerSettings/printerSettings953.bin"/><Relationship Id="rId2" Type="http://schemas.openxmlformats.org/officeDocument/2006/relationships/printerSettings" Target="../printerSettings/printerSettings952.bin"/><Relationship Id="rId1" Type="http://schemas.openxmlformats.org/officeDocument/2006/relationships/printerSettings" Target="../printerSettings/printerSettings951.bin"/><Relationship Id="rId5" Type="http://schemas.openxmlformats.org/officeDocument/2006/relationships/printerSettings" Target="../printerSettings/printerSettings955.bin"/><Relationship Id="rId4" Type="http://schemas.openxmlformats.org/officeDocument/2006/relationships/printerSettings" Target="../printerSettings/printerSettings954.bin"/></Relationships>
</file>

<file path=xl/worksheets/_rels/sheet192.xml.rels><?xml version="1.0" encoding="UTF-8" standalone="yes"?>
<Relationships xmlns="http://schemas.openxmlformats.org/package/2006/relationships"><Relationship Id="rId3" Type="http://schemas.openxmlformats.org/officeDocument/2006/relationships/printerSettings" Target="../printerSettings/printerSettings958.bin"/><Relationship Id="rId2" Type="http://schemas.openxmlformats.org/officeDocument/2006/relationships/printerSettings" Target="../printerSettings/printerSettings957.bin"/><Relationship Id="rId1" Type="http://schemas.openxmlformats.org/officeDocument/2006/relationships/printerSettings" Target="../printerSettings/printerSettings956.bin"/><Relationship Id="rId5" Type="http://schemas.openxmlformats.org/officeDocument/2006/relationships/printerSettings" Target="../printerSettings/printerSettings960.bin"/><Relationship Id="rId4" Type="http://schemas.openxmlformats.org/officeDocument/2006/relationships/printerSettings" Target="../printerSettings/printerSettings959.bin"/></Relationships>
</file>

<file path=xl/worksheets/_rels/sheet193.xml.rels><?xml version="1.0" encoding="UTF-8" standalone="yes"?>
<Relationships xmlns="http://schemas.openxmlformats.org/package/2006/relationships"><Relationship Id="rId3" Type="http://schemas.openxmlformats.org/officeDocument/2006/relationships/printerSettings" Target="../printerSettings/printerSettings963.bin"/><Relationship Id="rId2" Type="http://schemas.openxmlformats.org/officeDocument/2006/relationships/printerSettings" Target="../printerSettings/printerSettings962.bin"/><Relationship Id="rId1" Type="http://schemas.openxmlformats.org/officeDocument/2006/relationships/printerSettings" Target="../printerSettings/printerSettings961.bin"/><Relationship Id="rId5" Type="http://schemas.openxmlformats.org/officeDocument/2006/relationships/printerSettings" Target="../printerSettings/printerSettings965.bin"/><Relationship Id="rId4" Type="http://schemas.openxmlformats.org/officeDocument/2006/relationships/printerSettings" Target="../printerSettings/printerSettings964.bin"/></Relationships>
</file>

<file path=xl/worksheets/_rels/sheet194.xml.rels><?xml version="1.0" encoding="UTF-8" standalone="yes"?>
<Relationships xmlns="http://schemas.openxmlformats.org/package/2006/relationships"><Relationship Id="rId3" Type="http://schemas.openxmlformats.org/officeDocument/2006/relationships/printerSettings" Target="../printerSettings/printerSettings968.bin"/><Relationship Id="rId2" Type="http://schemas.openxmlformats.org/officeDocument/2006/relationships/printerSettings" Target="../printerSettings/printerSettings967.bin"/><Relationship Id="rId1" Type="http://schemas.openxmlformats.org/officeDocument/2006/relationships/printerSettings" Target="../printerSettings/printerSettings966.bin"/><Relationship Id="rId5" Type="http://schemas.openxmlformats.org/officeDocument/2006/relationships/printerSettings" Target="../printerSettings/printerSettings970.bin"/><Relationship Id="rId4" Type="http://schemas.openxmlformats.org/officeDocument/2006/relationships/printerSettings" Target="../printerSettings/printerSettings969.bin"/></Relationships>
</file>

<file path=xl/worksheets/_rels/sheet195.xml.rels><?xml version="1.0" encoding="UTF-8" standalone="yes"?>
<Relationships xmlns="http://schemas.openxmlformats.org/package/2006/relationships"><Relationship Id="rId3" Type="http://schemas.openxmlformats.org/officeDocument/2006/relationships/printerSettings" Target="../printerSettings/printerSettings973.bin"/><Relationship Id="rId2" Type="http://schemas.openxmlformats.org/officeDocument/2006/relationships/printerSettings" Target="../printerSettings/printerSettings972.bin"/><Relationship Id="rId1" Type="http://schemas.openxmlformats.org/officeDocument/2006/relationships/printerSettings" Target="../printerSettings/printerSettings971.bin"/><Relationship Id="rId5" Type="http://schemas.openxmlformats.org/officeDocument/2006/relationships/printerSettings" Target="../printerSettings/printerSettings975.bin"/><Relationship Id="rId4" Type="http://schemas.openxmlformats.org/officeDocument/2006/relationships/printerSettings" Target="../printerSettings/printerSettings974.bin"/></Relationships>
</file>

<file path=xl/worksheets/_rels/sheet196.xml.rels><?xml version="1.0" encoding="UTF-8" standalone="yes"?>
<Relationships xmlns="http://schemas.openxmlformats.org/package/2006/relationships"><Relationship Id="rId3" Type="http://schemas.openxmlformats.org/officeDocument/2006/relationships/printerSettings" Target="../printerSettings/printerSettings978.bin"/><Relationship Id="rId2" Type="http://schemas.openxmlformats.org/officeDocument/2006/relationships/printerSettings" Target="../printerSettings/printerSettings977.bin"/><Relationship Id="rId1" Type="http://schemas.openxmlformats.org/officeDocument/2006/relationships/printerSettings" Target="../printerSettings/printerSettings976.bin"/><Relationship Id="rId5" Type="http://schemas.openxmlformats.org/officeDocument/2006/relationships/printerSettings" Target="../printerSettings/printerSettings980.bin"/><Relationship Id="rId4" Type="http://schemas.openxmlformats.org/officeDocument/2006/relationships/printerSettings" Target="../printerSettings/printerSettings979.bin"/></Relationships>
</file>

<file path=xl/worksheets/_rels/sheet197.xml.rels><?xml version="1.0" encoding="UTF-8" standalone="yes"?>
<Relationships xmlns="http://schemas.openxmlformats.org/package/2006/relationships"><Relationship Id="rId3" Type="http://schemas.openxmlformats.org/officeDocument/2006/relationships/printerSettings" Target="../printerSettings/printerSettings983.bin"/><Relationship Id="rId2" Type="http://schemas.openxmlformats.org/officeDocument/2006/relationships/printerSettings" Target="../printerSettings/printerSettings982.bin"/><Relationship Id="rId1" Type="http://schemas.openxmlformats.org/officeDocument/2006/relationships/printerSettings" Target="../printerSettings/printerSettings981.bin"/><Relationship Id="rId5" Type="http://schemas.openxmlformats.org/officeDocument/2006/relationships/printerSettings" Target="../printerSettings/printerSettings985.bin"/><Relationship Id="rId4" Type="http://schemas.openxmlformats.org/officeDocument/2006/relationships/printerSettings" Target="../printerSettings/printerSettings984.bin"/></Relationships>
</file>

<file path=xl/worksheets/_rels/sheet198.xml.rels><?xml version="1.0" encoding="UTF-8" standalone="yes"?>
<Relationships xmlns="http://schemas.openxmlformats.org/package/2006/relationships"><Relationship Id="rId3" Type="http://schemas.openxmlformats.org/officeDocument/2006/relationships/printerSettings" Target="../printerSettings/printerSettings988.bin"/><Relationship Id="rId2" Type="http://schemas.openxmlformats.org/officeDocument/2006/relationships/printerSettings" Target="../printerSettings/printerSettings987.bin"/><Relationship Id="rId1" Type="http://schemas.openxmlformats.org/officeDocument/2006/relationships/printerSettings" Target="../printerSettings/printerSettings986.bin"/><Relationship Id="rId5" Type="http://schemas.openxmlformats.org/officeDocument/2006/relationships/printerSettings" Target="../printerSettings/printerSettings990.bin"/><Relationship Id="rId4" Type="http://schemas.openxmlformats.org/officeDocument/2006/relationships/printerSettings" Target="../printerSettings/printerSettings989.bin"/></Relationships>
</file>

<file path=xl/worksheets/_rels/sheet199.xml.rels><?xml version="1.0" encoding="UTF-8" standalone="yes"?>
<Relationships xmlns="http://schemas.openxmlformats.org/package/2006/relationships"><Relationship Id="rId3" Type="http://schemas.openxmlformats.org/officeDocument/2006/relationships/printerSettings" Target="../printerSettings/printerSettings993.bin"/><Relationship Id="rId2" Type="http://schemas.openxmlformats.org/officeDocument/2006/relationships/printerSettings" Target="../printerSettings/printerSettings992.bin"/><Relationship Id="rId1" Type="http://schemas.openxmlformats.org/officeDocument/2006/relationships/printerSettings" Target="../printerSettings/printerSettings991.bin"/><Relationship Id="rId5" Type="http://schemas.openxmlformats.org/officeDocument/2006/relationships/printerSettings" Target="../printerSettings/printerSettings995.bin"/><Relationship Id="rId4" Type="http://schemas.openxmlformats.org/officeDocument/2006/relationships/printerSettings" Target="../printerSettings/printerSettings99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 Id="rId5" Type="http://schemas.openxmlformats.org/officeDocument/2006/relationships/printerSettings" Target="../printerSettings/printerSettings100.bin"/><Relationship Id="rId4" Type="http://schemas.openxmlformats.org/officeDocument/2006/relationships/printerSettings" Target="../printerSettings/printerSettings99.bin"/></Relationships>
</file>

<file path=xl/worksheets/_rels/sheet200.xml.rels><?xml version="1.0" encoding="UTF-8" standalone="yes"?>
<Relationships xmlns="http://schemas.openxmlformats.org/package/2006/relationships"><Relationship Id="rId3" Type="http://schemas.openxmlformats.org/officeDocument/2006/relationships/printerSettings" Target="../printerSettings/printerSettings998.bin"/><Relationship Id="rId2" Type="http://schemas.openxmlformats.org/officeDocument/2006/relationships/printerSettings" Target="../printerSettings/printerSettings997.bin"/><Relationship Id="rId1" Type="http://schemas.openxmlformats.org/officeDocument/2006/relationships/printerSettings" Target="../printerSettings/printerSettings996.bin"/><Relationship Id="rId5" Type="http://schemas.openxmlformats.org/officeDocument/2006/relationships/printerSettings" Target="../printerSettings/printerSettings1000.bin"/><Relationship Id="rId4" Type="http://schemas.openxmlformats.org/officeDocument/2006/relationships/printerSettings" Target="../printerSettings/printerSettings999.bin"/></Relationships>
</file>

<file path=xl/worksheets/_rels/sheet201.xml.rels><?xml version="1.0" encoding="UTF-8" standalone="yes"?>
<Relationships xmlns="http://schemas.openxmlformats.org/package/2006/relationships"><Relationship Id="rId3" Type="http://schemas.openxmlformats.org/officeDocument/2006/relationships/printerSettings" Target="../printerSettings/printerSettings1003.bin"/><Relationship Id="rId2" Type="http://schemas.openxmlformats.org/officeDocument/2006/relationships/printerSettings" Target="../printerSettings/printerSettings1002.bin"/><Relationship Id="rId1" Type="http://schemas.openxmlformats.org/officeDocument/2006/relationships/printerSettings" Target="../printerSettings/printerSettings1001.bin"/><Relationship Id="rId5" Type="http://schemas.openxmlformats.org/officeDocument/2006/relationships/printerSettings" Target="../printerSettings/printerSettings1005.bin"/><Relationship Id="rId4" Type="http://schemas.openxmlformats.org/officeDocument/2006/relationships/printerSettings" Target="../printerSettings/printerSettings1004.bin"/></Relationships>
</file>

<file path=xl/worksheets/_rels/sheet202.xml.rels><?xml version="1.0" encoding="UTF-8" standalone="yes"?>
<Relationships xmlns="http://schemas.openxmlformats.org/package/2006/relationships"><Relationship Id="rId3" Type="http://schemas.openxmlformats.org/officeDocument/2006/relationships/printerSettings" Target="../printerSettings/printerSettings1008.bin"/><Relationship Id="rId2" Type="http://schemas.openxmlformats.org/officeDocument/2006/relationships/printerSettings" Target="../printerSettings/printerSettings1007.bin"/><Relationship Id="rId1" Type="http://schemas.openxmlformats.org/officeDocument/2006/relationships/printerSettings" Target="../printerSettings/printerSettings1006.bin"/><Relationship Id="rId5" Type="http://schemas.openxmlformats.org/officeDocument/2006/relationships/printerSettings" Target="../printerSettings/printerSettings1010.bin"/><Relationship Id="rId4" Type="http://schemas.openxmlformats.org/officeDocument/2006/relationships/printerSettings" Target="../printerSettings/printerSettings1009.bin"/></Relationships>
</file>

<file path=xl/worksheets/_rels/sheet203.xml.rels><?xml version="1.0" encoding="UTF-8" standalone="yes"?>
<Relationships xmlns="http://schemas.openxmlformats.org/package/2006/relationships"><Relationship Id="rId3" Type="http://schemas.openxmlformats.org/officeDocument/2006/relationships/printerSettings" Target="../printerSettings/printerSettings1013.bin"/><Relationship Id="rId2" Type="http://schemas.openxmlformats.org/officeDocument/2006/relationships/printerSettings" Target="../printerSettings/printerSettings1012.bin"/><Relationship Id="rId1" Type="http://schemas.openxmlformats.org/officeDocument/2006/relationships/printerSettings" Target="../printerSettings/printerSettings1011.bin"/><Relationship Id="rId5" Type="http://schemas.openxmlformats.org/officeDocument/2006/relationships/printerSettings" Target="../printerSettings/printerSettings1015.bin"/><Relationship Id="rId4" Type="http://schemas.openxmlformats.org/officeDocument/2006/relationships/printerSettings" Target="../printerSettings/printerSettings1014.bin"/></Relationships>
</file>

<file path=xl/worksheets/_rels/sheet204.xml.rels><?xml version="1.0" encoding="UTF-8" standalone="yes"?>
<Relationships xmlns="http://schemas.openxmlformats.org/package/2006/relationships"><Relationship Id="rId3" Type="http://schemas.openxmlformats.org/officeDocument/2006/relationships/printerSettings" Target="../printerSettings/printerSettings1018.bin"/><Relationship Id="rId2" Type="http://schemas.openxmlformats.org/officeDocument/2006/relationships/printerSettings" Target="../printerSettings/printerSettings1017.bin"/><Relationship Id="rId1" Type="http://schemas.openxmlformats.org/officeDocument/2006/relationships/printerSettings" Target="../printerSettings/printerSettings1016.bin"/><Relationship Id="rId5" Type="http://schemas.openxmlformats.org/officeDocument/2006/relationships/printerSettings" Target="../printerSettings/printerSettings1020.bin"/><Relationship Id="rId4" Type="http://schemas.openxmlformats.org/officeDocument/2006/relationships/printerSettings" Target="../printerSettings/printerSettings1019.bin"/></Relationships>
</file>

<file path=xl/worksheets/_rels/sheet205.xml.rels><?xml version="1.0" encoding="UTF-8" standalone="yes"?>
<Relationships xmlns="http://schemas.openxmlformats.org/package/2006/relationships"><Relationship Id="rId3" Type="http://schemas.openxmlformats.org/officeDocument/2006/relationships/printerSettings" Target="../printerSettings/printerSettings1023.bin"/><Relationship Id="rId2" Type="http://schemas.openxmlformats.org/officeDocument/2006/relationships/printerSettings" Target="../printerSettings/printerSettings1022.bin"/><Relationship Id="rId1" Type="http://schemas.openxmlformats.org/officeDocument/2006/relationships/printerSettings" Target="../printerSettings/printerSettings1021.bin"/><Relationship Id="rId5" Type="http://schemas.openxmlformats.org/officeDocument/2006/relationships/printerSettings" Target="../printerSettings/printerSettings1025.bin"/><Relationship Id="rId4" Type="http://schemas.openxmlformats.org/officeDocument/2006/relationships/printerSettings" Target="../printerSettings/printerSettings1024.bin"/></Relationships>
</file>

<file path=xl/worksheets/_rels/sheet206.xml.rels><?xml version="1.0" encoding="UTF-8" standalone="yes"?>
<Relationships xmlns="http://schemas.openxmlformats.org/package/2006/relationships"><Relationship Id="rId3" Type="http://schemas.openxmlformats.org/officeDocument/2006/relationships/printerSettings" Target="../printerSettings/printerSettings1028.bin"/><Relationship Id="rId2" Type="http://schemas.openxmlformats.org/officeDocument/2006/relationships/printerSettings" Target="../printerSettings/printerSettings1027.bin"/><Relationship Id="rId1" Type="http://schemas.openxmlformats.org/officeDocument/2006/relationships/printerSettings" Target="../printerSettings/printerSettings1026.bin"/><Relationship Id="rId5" Type="http://schemas.openxmlformats.org/officeDocument/2006/relationships/printerSettings" Target="../printerSettings/printerSettings1030.bin"/><Relationship Id="rId4" Type="http://schemas.openxmlformats.org/officeDocument/2006/relationships/printerSettings" Target="../printerSettings/printerSettings1029.bin"/></Relationships>
</file>

<file path=xl/worksheets/_rels/sheet207.xml.rels><?xml version="1.0" encoding="UTF-8" standalone="yes"?>
<Relationships xmlns="http://schemas.openxmlformats.org/package/2006/relationships"><Relationship Id="rId3" Type="http://schemas.openxmlformats.org/officeDocument/2006/relationships/printerSettings" Target="../printerSettings/printerSettings1033.bin"/><Relationship Id="rId2" Type="http://schemas.openxmlformats.org/officeDocument/2006/relationships/printerSettings" Target="../printerSettings/printerSettings1032.bin"/><Relationship Id="rId1" Type="http://schemas.openxmlformats.org/officeDocument/2006/relationships/printerSettings" Target="../printerSettings/printerSettings1031.bin"/><Relationship Id="rId5" Type="http://schemas.openxmlformats.org/officeDocument/2006/relationships/printerSettings" Target="../printerSettings/printerSettings1035.bin"/><Relationship Id="rId4" Type="http://schemas.openxmlformats.org/officeDocument/2006/relationships/printerSettings" Target="../printerSettings/printerSettings1034.bin"/></Relationships>
</file>

<file path=xl/worksheets/_rels/sheet208.xml.rels><?xml version="1.0" encoding="UTF-8" standalone="yes"?>
<Relationships xmlns="http://schemas.openxmlformats.org/package/2006/relationships"><Relationship Id="rId3" Type="http://schemas.openxmlformats.org/officeDocument/2006/relationships/printerSettings" Target="../printerSettings/printerSettings1038.bin"/><Relationship Id="rId2" Type="http://schemas.openxmlformats.org/officeDocument/2006/relationships/printerSettings" Target="../printerSettings/printerSettings1037.bin"/><Relationship Id="rId1" Type="http://schemas.openxmlformats.org/officeDocument/2006/relationships/printerSettings" Target="../printerSettings/printerSettings1036.bin"/><Relationship Id="rId5" Type="http://schemas.openxmlformats.org/officeDocument/2006/relationships/printerSettings" Target="../printerSettings/printerSettings1040.bin"/><Relationship Id="rId4" Type="http://schemas.openxmlformats.org/officeDocument/2006/relationships/printerSettings" Target="../printerSettings/printerSettings1039.bin"/></Relationships>
</file>

<file path=xl/worksheets/_rels/sheet209.xml.rels><?xml version="1.0" encoding="UTF-8" standalone="yes"?>
<Relationships xmlns="http://schemas.openxmlformats.org/package/2006/relationships"><Relationship Id="rId3" Type="http://schemas.openxmlformats.org/officeDocument/2006/relationships/printerSettings" Target="../printerSettings/printerSettings1043.bin"/><Relationship Id="rId2" Type="http://schemas.openxmlformats.org/officeDocument/2006/relationships/printerSettings" Target="../printerSettings/printerSettings1042.bin"/><Relationship Id="rId1" Type="http://schemas.openxmlformats.org/officeDocument/2006/relationships/printerSettings" Target="../printerSettings/printerSettings1041.bin"/><Relationship Id="rId5" Type="http://schemas.openxmlformats.org/officeDocument/2006/relationships/printerSettings" Target="../printerSettings/printerSettings1045.bin"/><Relationship Id="rId4" Type="http://schemas.openxmlformats.org/officeDocument/2006/relationships/printerSettings" Target="../printerSettings/printerSettings104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3.bin"/><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 Id="rId5" Type="http://schemas.openxmlformats.org/officeDocument/2006/relationships/printerSettings" Target="../printerSettings/printerSettings105.bin"/><Relationship Id="rId4" Type="http://schemas.openxmlformats.org/officeDocument/2006/relationships/printerSettings" Target="../printerSettings/printerSettings104.bin"/></Relationships>
</file>

<file path=xl/worksheets/_rels/sheet210.xml.rels><?xml version="1.0" encoding="UTF-8" standalone="yes"?>
<Relationships xmlns="http://schemas.openxmlformats.org/package/2006/relationships"><Relationship Id="rId3" Type="http://schemas.openxmlformats.org/officeDocument/2006/relationships/printerSettings" Target="../printerSettings/printerSettings1048.bin"/><Relationship Id="rId2" Type="http://schemas.openxmlformats.org/officeDocument/2006/relationships/printerSettings" Target="../printerSettings/printerSettings1047.bin"/><Relationship Id="rId1" Type="http://schemas.openxmlformats.org/officeDocument/2006/relationships/printerSettings" Target="../printerSettings/printerSettings1046.bin"/><Relationship Id="rId5" Type="http://schemas.openxmlformats.org/officeDocument/2006/relationships/printerSettings" Target="../printerSettings/printerSettings1050.bin"/><Relationship Id="rId4" Type="http://schemas.openxmlformats.org/officeDocument/2006/relationships/printerSettings" Target="../printerSettings/printerSettings1049.bin"/></Relationships>
</file>

<file path=xl/worksheets/_rels/sheet211.xml.rels><?xml version="1.0" encoding="UTF-8" standalone="yes"?>
<Relationships xmlns="http://schemas.openxmlformats.org/package/2006/relationships"><Relationship Id="rId3" Type="http://schemas.openxmlformats.org/officeDocument/2006/relationships/printerSettings" Target="../printerSettings/printerSettings1053.bin"/><Relationship Id="rId2" Type="http://schemas.openxmlformats.org/officeDocument/2006/relationships/printerSettings" Target="../printerSettings/printerSettings1052.bin"/><Relationship Id="rId1" Type="http://schemas.openxmlformats.org/officeDocument/2006/relationships/printerSettings" Target="../printerSettings/printerSettings1051.bin"/><Relationship Id="rId5" Type="http://schemas.openxmlformats.org/officeDocument/2006/relationships/printerSettings" Target="../printerSettings/printerSettings1055.bin"/><Relationship Id="rId4" Type="http://schemas.openxmlformats.org/officeDocument/2006/relationships/printerSettings" Target="../printerSettings/printerSettings1054.bin"/></Relationships>
</file>

<file path=xl/worksheets/_rels/sheet212.xml.rels><?xml version="1.0" encoding="UTF-8" standalone="yes"?>
<Relationships xmlns="http://schemas.openxmlformats.org/package/2006/relationships"><Relationship Id="rId3" Type="http://schemas.openxmlformats.org/officeDocument/2006/relationships/printerSettings" Target="../printerSettings/printerSettings1058.bin"/><Relationship Id="rId2" Type="http://schemas.openxmlformats.org/officeDocument/2006/relationships/printerSettings" Target="../printerSettings/printerSettings1057.bin"/><Relationship Id="rId1" Type="http://schemas.openxmlformats.org/officeDocument/2006/relationships/printerSettings" Target="../printerSettings/printerSettings1056.bin"/><Relationship Id="rId5" Type="http://schemas.openxmlformats.org/officeDocument/2006/relationships/printerSettings" Target="../printerSettings/printerSettings1060.bin"/><Relationship Id="rId4" Type="http://schemas.openxmlformats.org/officeDocument/2006/relationships/printerSettings" Target="../printerSettings/printerSettings1059.bin"/></Relationships>
</file>

<file path=xl/worksheets/_rels/sheet213.xml.rels><?xml version="1.0" encoding="UTF-8" standalone="yes"?>
<Relationships xmlns="http://schemas.openxmlformats.org/package/2006/relationships"><Relationship Id="rId3" Type="http://schemas.openxmlformats.org/officeDocument/2006/relationships/printerSettings" Target="../printerSettings/printerSettings1063.bin"/><Relationship Id="rId2" Type="http://schemas.openxmlformats.org/officeDocument/2006/relationships/printerSettings" Target="../printerSettings/printerSettings1062.bin"/><Relationship Id="rId1" Type="http://schemas.openxmlformats.org/officeDocument/2006/relationships/printerSettings" Target="../printerSettings/printerSettings1061.bin"/><Relationship Id="rId5" Type="http://schemas.openxmlformats.org/officeDocument/2006/relationships/printerSettings" Target="../printerSettings/printerSettings1065.bin"/><Relationship Id="rId4" Type="http://schemas.openxmlformats.org/officeDocument/2006/relationships/printerSettings" Target="../printerSettings/printerSettings1064.bin"/></Relationships>
</file>

<file path=xl/worksheets/_rels/sheet214.xml.rels><?xml version="1.0" encoding="UTF-8" standalone="yes"?>
<Relationships xmlns="http://schemas.openxmlformats.org/package/2006/relationships"><Relationship Id="rId3" Type="http://schemas.openxmlformats.org/officeDocument/2006/relationships/printerSettings" Target="../printerSettings/printerSettings1068.bin"/><Relationship Id="rId2" Type="http://schemas.openxmlformats.org/officeDocument/2006/relationships/printerSettings" Target="../printerSettings/printerSettings1067.bin"/><Relationship Id="rId1" Type="http://schemas.openxmlformats.org/officeDocument/2006/relationships/printerSettings" Target="../printerSettings/printerSettings1066.bin"/><Relationship Id="rId5" Type="http://schemas.openxmlformats.org/officeDocument/2006/relationships/printerSettings" Target="../printerSettings/printerSettings1070.bin"/><Relationship Id="rId4" Type="http://schemas.openxmlformats.org/officeDocument/2006/relationships/printerSettings" Target="../printerSettings/printerSettings1069.bin"/></Relationships>
</file>

<file path=xl/worksheets/_rels/sheet215.xml.rels><?xml version="1.0" encoding="UTF-8" standalone="yes"?>
<Relationships xmlns="http://schemas.openxmlformats.org/package/2006/relationships"><Relationship Id="rId3" Type="http://schemas.openxmlformats.org/officeDocument/2006/relationships/printerSettings" Target="../printerSettings/printerSettings1073.bin"/><Relationship Id="rId2" Type="http://schemas.openxmlformats.org/officeDocument/2006/relationships/printerSettings" Target="../printerSettings/printerSettings1072.bin"/><Relationship Id="rId1" Type="http://schemas.openxmlformats.org/officeDocument/2006/relationships/printerSettings" Target="../printerSettings/printerSettings1071.bin"/><Relationship Id="rId5" Type="http://schemas.openxmlformats.org/officeDocument/2006/relationships/printerSettings" Target="../printerSettings/printerSettings1075.bin"/><Relationship Id="rId4" Type="http://schemas.openxmlformats.org/officeDocument/2006/relationships/printerSettings" Target="../printerSettings/printerSettings1074.bin"/></Relationships>
</file>

<file path=xl/worksheets/_rels/sheet216.xml.rels><?xml version="1.0" encoding="UTF-8" standalone="yes"?>
<Relationships xmlns="http://schemas.openxmlformats.org/package/2006/relationships"><Relationship Id="rId3" Type="http://schemas.openxmlformats.org/officeDocument/2006/relationships/printerSettings" Target="../printerSettings/printerSettings1078.bin"/><Relationship Id="rId2" Type="http://schemas.openxmlformats.org/officeDocument/2006/relationships/printerSettings" Target="../printerSettings/printerSettings1077.bin"/><Relationship Id="rId1" Type="http://schemas.openxmlformats.org/officeDocument/2006/relationships/printerSettings" Target="../printerSettings/printerSettings1076.bin"/><Relationship Id="rId5" Type="http://schemas.openxmlformats.org/officeDocument/2006/relationships/printerSettings" Target="../printerSettings/printerSettings1080.bin"/><Relationship Id="rId4" Type="http://schemas.openxmlformats.org/officeDocument/2006/relationships/printerSettings" Target="../printerSettings/printerSettings1079.bin"/></Relationships>
</file>

<file path=xl/worksheets/_rels/sheet217.xml.rels><?xml version="1.0" encoding="UTF-8" standalone="yes"?>
<Relationships xmlns="http://schemas.openxmlformats.org/package/2006/relationships"><Relationship Id="rId3" Type="http://schemas.openxmlformats.org/officeDocument/2006/relationships/printerSettings" Target="../printerSettings/printerSettings1083.bin"/><Relationship Id="rId2" Type="http://schemas.openxmlformats.org/officeDocument/2006/relationships/printerSettings" Target="../printerSettings/printerSettings1082.bin"/><Relationship Id="rId1" Type="http://schemas.openxmlformats.org/officeDocument/2006/relationships/printerSettings" Target="../printerSettings/printerSettings1081.bin"/><Relationship Id="rId5" Type="http://schemas.openxmlformats.org/officeDocument/2006/relationships/printerSettings" Target="../printerSettings/printerSettings1085.bin"/><Relationship Id="rId4" Type="http://schemas.openxmlformats.org/officeDocument/2006/relationships/printerSettings" Target="../printerSettings/printerSettings1084.bin"/></Relationships>
</file>

<file path=xl/worksheets/_rels/sheet218.xml.rels><?xml version="1.0" encoding="UTF-8" standalone="yes"?>
<Relationships xmlns="http://schemas.openxmlformats.org/package/2006/relationships"><Relationship Id="rId3" Type="http://schemas.openxmlformats.org/officeDocument/2006/relationships/printerSettings" Target="../printerSettings/printerSettings1088.bin"/><Relationship Id="rId2" Type="http://schemas.openxmlformats.org/officeDocument/2006/relationships/printerSettings" Target="../printerSettings/printerSettings1087.bin"/><Relationship Id="rId1" Type="http://schemas.openxmlformats.org/officeDocument/2006/relationships/printerSettings" Target="../printerSettings/printerSettings1086.bin"/><Relationship Id="rId5" Type="http://schemas.openxmlformats.org/officeDocument/2006/relationships/printerSettings" Target="../printerSettings/printerSettings1090.bin"/><Relationship Id="rId4" Type="http://schemas.openxmlformats.org/officeDocument/2006/relationships/printerSettings" Target="../printerSettings/printerSettings1089.bin"/></Relationships>
</file>

<file path=xl/worksheets/_rels/sheet219.xml.rels><?xml version="1.0" encoding="UTF-8" standalone="yes"?>
<Relationships xmlns="http://schemas.openxmlformats.org/package/2006/relationships"><Relationship Id="rId3" Type="http://schemas.openxmlformats.org/officeDocument/2006/relationships/printerSettings" Target="../printerSettings/printerSettings1093.bin"/><Relationship Id="rId2" Type="http://schemas.openxmlformats.org/officeDocument/2006/relationships/printerSettings" Target="../printerSettings/printerSettings1092.bin"/><Relationship Id="rId1" Type="http://schemas.openxmlformats.org/officeDocument/2006/relationships/printerSettings" Target="../printerSettings/printerSettings1091.bin"/><Relationship Id="rId5" Type="http://schemas.openxmlformats.org/officeDocument/2006/relationships/printerSettings" Target="../printerSettings/printerSettings1095.bin"/><Relationship Id="rId4" Type="http://schemas.openxmlformats.org/officeDocument/2006/relationships/printerSettings" Target="../printerSettings/printerSettings109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220.xml.rels><?xml version="1.0" encoding="UTF-8" standalone="yes"?>
<Relationships xmlns="http://schemas.openxmlformats.org/package/2006/relationships"><Relationship Id="rId3" Type="http://schemas.openxmlformats.org/officeDocument/2006/relationships/printerSettings" Target="../printerSettings/printerSettings1098.bin"/><Relationship Id="rId2" Type="http://schemas.openxmlformats.org/officeDocument/2006/relationships/printerSettings" Target="../printerSettings/printerSettings1097.bin"/><Relationship Id="rId1" Type="http://schemas.openxmlformats.org/officeDocument/2006/relationships/printerSettings" Target="../printerSettings/printerSettings1096.bin"/><Relationship Id="rId5" Type="http://schemas.openxmlformats.org/officeDocument/2006/relationships/printerSettings" Target="../printerSettings/printerSettings1100.bin"/><Relationship Id="rId4" Type="http://schemas.openxmlformats.org/officeDocument/2006/relationships/printerSettings" Target="../printerSettings/printerSettings1099.bin"/></Relationships>
</file>

<file path=xl/worksheets/_rels/sheet221.xml.rels><?xml version="1.0" encoding="UTF-8" standalone="yes"?>
<Relationships xmlns="http://schemas.openxmlformats.org/package/2006/relationships"><Relationship Id="rId3" Type="http://schemas.openxmlformats.org/officeDocument/2006/relationships/printerSettings" Target="../printerSettings/printerSettings1103.bin"/><Relationship Id="rId2" Type="http://schemas.openxmlformats.org/officeDocument/2006/relationships/printerSettings" Target="../printerSettings/printerSettings1102.bin"/><Relationship Id="rId1" Type="http://schemas.openxmlformats.org/officeDocument/2006/relationships/printerSettings" Target="../printerSettings/printerSettings1101.bin"/><Relationship Id="rId5" Type="http://schemas.openxmlformats.org/officeDocument/2006/relationships/printerSettings" Target="../printerSettings/printerSettings1105.bin"/><Relationship Id="rId4" Type="http://schemas.openxmlformats.org/officeDocument/2006/relationships/printerSettings" Target="../printerSettings/printerSettings1104.bin"/></Relationships>
</file>

<file path=xl/worksheets/_rels/sheet222.xml.rels><?xml version="1.0" encoding="UTF-8" standalone="yes"?>
<Relationships xmlns="http://schemas.openxmlformats.org/package/2006/relationships"><Relationship Id="rId3" Type="http://schemas.openxmlformats.org/officeDocument/2006/relationships/printerSettings" Target="../printerSettings/printerSettings1108.bin"/><Relationship Id="rId2" Type="http://schemas.openxmlformats.org/officeDocument/2006/relationships/printerSettings" Target="../printerSettings/printerSettings1107.bin"/><Relationship Id="rId1" Type="http://schemas.openxmlformats.org/officeDocument/2006/relationships/printerSettings" Target="../printerSettings/printerSettings1106.bin"/><Relationship Id="rId5" Type="http://schemas.openxmlformats.org/officeDocument/2006/relationships/printerSettings" Target="../printerSettings/printerSettings1110.bin"/><Relationship Id="rId4" Type="http://schemas.openxmlformats.org/officeDocument/2006/relationships/printerSettings" Target="../printerSettings/printerSettings1109.bin"/></Relationships>
</file>

<file path=xl/worksheets/_rels/sheet223.xml.rels><?xml version="1.0" encoding="UTF-8" standalone="yes"?>
<Relationships xmlns="http://schemas.openxmlformats.org/package/2006/relationships"><Relationship Id="rId3" Type="http://schemas.openxmlformats.org/officeDocument/2006/relationships/printerSettings" Target="../printerSettings/printerSettings1113.bin"/><Relationship Id="rId2" Type="http://schemas.openxmlformats.org/officeDocument/2006/relationships/printerSettings" Target="../printerSettings/printerSettings1112.bin"/><Relationship Id="rId1" Type="http://schemas.openxmlformats.org/officeDocument/2006/relationships/printerSettings" Target="../printerSettings/printerSettings1111.bin"/><Relationship Id="rId5" Type="http://schemas.openxmlformats.org/officeDocument/2006/relationships/printerSettings" Target="../printerSettings/printerSettings1115.bin"/><Relationship Id="rId4" Type="http://schemas.openxmlformats.org/officeDocument/2006/relationships/printerSettings" Target="../printerSettings/printerSettings1114.bin"/></Relationships>
</file>

<file path=xl/worksheets/_rels/sheet224.xml.rels><?xml version="1.0" encoding="UTF-8" standalone="yes"?>
<Relationships xmlns="http://schemas.openxmlformats.org/package/2006/relationships"><Relationship Id="rId3" Type="http://schemas.openxmlformats.org/officeDocument/2006/relationships/printerSettings" Target="../printerSettings/printerSettings1118.bin"/><Relationship Id="rId2" Type="http://schemas.openxmlformats.org/officeDocument/2006/relationships/printerSettings" Target="../printerSettings/printerSettings1117.bin"/><Relationship Id="rId1" Type="http://schemas.openxmlformats.org/officeDocument/2006/relationships/printerSettings" Target="../printerSettings/printerSettings1116.bin"/><Relationship Id="rId5" Type="http://schemas.openxmlformats.org/officeDocument/2006/relationships/printerSettings" Target="../printerSettings/printerSettings1120.bin"/><Relationship Id="rId4" Type="http://schemas.openxmlformats.org/officeDocument/2006/relationships/printerSettings" Target="../printerSettings/printerSettings1119.bin"/></Relationships>
</file>

<file path=xl/worksheets/_rels/sheet225.xml.rels><?xml version="1.0" encoding="UTF-8" standalone="yes"?>
<Relationships xmlns="http://schemas.openxmlformats.org/package/2006/relationships"><Relationship Id="rId3" Type="http://schemas.openxmlformats.org/officeDocument/2006/relationships/printerSettings" Target="../printerSettings/printerSettings1123.bin"/><Relationship Id="rId2" Type="http://schemas.openxmlformats.org/officeDocument/2006/relationships/printerSettings" Target="../printerSettings/printerSettings1122.bin"/><Relationship Id="rId1" Type="http://schemas.openxmlformats.org/officeDocument/2006/relationships/printerSettings" Target="../printerSettings/printerSettings1121.bin"/><Relationship Id="rId5" Type="http://schemas.openxmlformats.org/officeDocument/2006/relationships/printerSettings" Target="../printerSettings/printerSettings1125.bin"/><Relationship Id="rId4" Type="http://schemas.openxmlformats.org/officeDocument/2006/relationships/printerSettings" Target="../printerSettings/printerSettings1124.bin"/></Relationships>
</file>

<file path=xl/worksheets/_rels/sheet226.xml.rels><?xml version="1.0" encoding="UTF-8" standalone="yes"?>
<Relationships xmlns="http://schemas.openxmlformats.org/package/2006/relationships"><Relationship Id="rId3" Type="http://schemas.openxmlformats.org/officeDocument/2006/relationships/printerSettings" Target="../printerSettings/printerSettings1128.bin"/><Relationship Id="rId2" Type="http://schemas.openxmlformats.org/officeDocument/2006/relationships/printerSettings" Target="../printerSettings/printerSettings1127.bin"/><Relationship Id="rId1" Type="http://schemas.openxmlformats.org/officeDocument/2006/relationships/printerSettings" Target="../printerSettings/printerSettings1126.bin"/><Relationship Id="rId5" Type="http://schemas.openxmlformats.org/officeDocument/2006/relationships/printerSettings" Target="../printerSettings/printerSettings1130.bin"/><Relationship Id="rId4" Type="http://schemas.openxmlformats.org/officeDocument/2006/relationships/printerSettings" Target="../printerSettings/printerSettings1129.bin"/></Relationships>
</file>

<file path=xl/worksheets/_rels/sheet227.xml.rels><?xml version="1.0" encoding="UTF-8" standalone="yes"?>
<Relationships xmlns="http://schemas.openxmlformats.org/package/2006/relationships"><Relationship Id="rId3" Type="http://schemas.openxmlformats.org/officeDocument/2006/relationships/printerSettings" Target="../printerSettings/printerSettings1133.bin"/><Relationship Id="rId2" Type="http://schemas.openxmlformats.org/officeDocument/2006/relationships/printerSettings" Target="../printerSettings/printerSettings1132.bin"/><Relationship Id="rId1" Type="http://schemas.openxmlformats.org/officeDocument/2006/relationships/printerSettings" Target="../printerSettings/printerSettings1131.bin"/><Relationship Id="rId5" Type="http://schemas.openxmlformats.org/officeDocument/2006/relationships/printerSettings" Target="../printerSettings/printerSettings1135.bin"/><Relationship Id="rId4" Type="http://schemas.openxmlformats.org/officeDocument/2006/relationships/printerSettings" Target="../printerSettings/printerSettings1134.bin"/></Relationships>
</file>

<file path=xl/worksheets/_rels/sheet228.xml.rels><?xml version="1.0" encoding="UTF-8" standalone="yes"?>
<Relationships xmlns="http://schemas.openxmlformats.org/package/2006/relationships"><Relationship Id="rId3" Type="http://schemas.openxmlformats.org/officeDocument/2006/relationships/printerSettings" Target="../printerSettings/printerSettings1138.bin"/><Relationship Id="rId2" Type="http://schemas.openxmlformats.org/officeDocument/2006/relationships/printerSettings" Target="../printerSettings/printerSettings1137.bin"/><Relationship Id="rId1" Type="http://schemas.openxmlformats.org/officeDocument/2006/relationships/printerSettings" Target="../printerSettings/printerSettings1136.bin"/><Relationship Id="rId5" Type="http://schemas.openxmlformats.org/officeDocument/2006/relationships/printerSettings" Target="../printerSettings/printerSettings1140.bin"/><Relationship Id="rId4" Type="http://schemas.openxmlformats.org/officeDocument/2006/relationships/printerSettings" Target="../printerSettings/printerSettings1139.bin"/></Relationships>
</file>

<file path=xl/worksheets/_rels/sheet229.xml.rels><?xml version="1.0" encoding="UTF-8" standalone="yes"?>
<Relationships xmlns="http://schemas.openxmlformats.org/package/2006/relationships"><Relationship Id="rId3" Type="http://schemas.openxmlformats.org/officeDocument/2006/relationships/printerSettings" Target="../printerSettings/printerSettings1143.bin"/><Relationship Id="rId2" Type="http://schemas.openxmlformats.org/officeDocument/2006/relationships/printerSettings" Target="../printerSettings/printerSettings1142.bin"/><Relationship Id="rId1" Type="http://schemas.openxmlformats.org/officeDocument/2006/relationships/printerSettings" Target="../printerSettings/printerSettings1141.bin"/><Relationship Id="rId5" Type="http://schemas.openxmlformats.org/officeDocument/2006/relationships/printerSettings" Target="../printerSettings/printerSettings1145.bin"/><Relationship Id="rId4" Type="http://schemas.openxmlformats.org/officeDocument/2006/relationships/printerSettings" Target="../printerSettings/printerSettings114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30.xml.rels><?xml version="1.0" encoding="UTF-8" standalone="yes"?>
<Relationships xmlns="http://schemas.openxmlformats.org/package/2006/relationships"><Relationship Id="rId3" Type="http://schemas.openxmlformats.org/officeDocument/2006/relationships/printerSettings" Target="../printerSettings/printerSettings1148.bin"/><Relationship Id="rId2" Type="http://schemas.openxmlformats.org/officeDocument/2006/relationships/printerSettings" Target="../printerSettings/printerSettings1147.bin"/><Relationship Id="rId1" Type="http://schemas.openxmlformats.org/officeDocument/2006/relationships/printerSettings" Target="../printerSettings/printerSettings1146.bin"/><Relationship Id="rId5" Type="http://schemas.openxmlformats.org/officeDocument/2006/relationships/printerSettings" Target="../printerSettings/printerSettings1150.bin"/><Relationship Id="rId4" Type="http://schemas.openxmlformats.org/officeDocument/2006/relationships/printerSettings" Target="../printerSettings/printerSettings1149.bin"/></Relationships>
</file>

<file path=xl/worksheets/_rels/sheet231.xml.rels><?xml version="1.0" encoding="UTF-8" standalone="yes"?>
<Relationships xmlns="http://schemas.openxmlformats.org/package/2006/relationships"><Relationship Id="rId3" Type="http://schemas.openxmlformats.org/officeDocument/2006/relationships/printerSettings" Target="../printerSettings/printerSettings1153.bin"/><Relationship Id="rId2" Type="http://schemas.openxmlformats.org/officeDocument/2006/relationships/printerSettings" Target="../printerSettings/printerSettings1152.bin"/><Relationship Id="rId1" Type="http://schemas.openxmlformats.org/officeDocument/2006/relationships/printerSettings" Target="../printerSettings/printerSettings1151.bin"/><Relationship Id="rId5" Type="http://schemas.openxmlformats.org/officeDocument/2006/relationships/printerSettings" Target="../printerSettings/printerSettings1155.bin"/><Relationship Id="rId4" Type="http://schemas.openxmlformats.org/officeDocument/2006/relationships/printerSettings" Target="../printerSettings/printerSettings1154.bin"/></Relationships>
</file>

<file path=xl/worksheets/_rels/sheet232.xml.rels><?xml version="1.0" encoding="UTF-8" standalone="yes"?>
<Relationships xmlns="http://schemas.openxmlformats.org/package/2006/relationships"><Relationship Id="rId3" Type="http://schemas.openxmlformats.org/officeDocument/2006/relationships/printerSettings" Target="../printerSettings/printerSettings1158.bin"/><Relationship Id="rId2" Type="http://schemas.openxmlformats.org/officeDocument/2006/relationships/printerSettings" Target="../printerSettings/printerSettings1157.bin"/><Relationship Id="rId1" Type="http://schemas.openxmlformats.org/officeDocument/2006/relationships/printerSettings" Target="../printerSettings/printerSettings1156.bin"/><Relationship Id="rId5" Type="http://schemas.openxmlformats.org/officeDocument/2006/relationships/printerSettings" Target="../printerSettings/printerSettings1160.bin"/><Relationship Id="rId4" Type="http://schemas.openxmlformats.org/officeDocument/2006/relationships/printerSettings" Target="../printerSettings/printerSettings1159.bin"/></Relationships>
</file>

<file path=xl/worksheets/_rels/sheet233.xml.rels><?xml version="1.0" encoding="UTF-8" standalone="yes"?>
<Relationships xmlns="http://schemas.openxmlformats.org/package/2006/relationships"><Relationship Id="rId3" Type="http://schemas.openxmlformats.org/officeDocument/2006/relationships/printerSettings" Target="../printerSettings/printerSettings1163.bin"/><Relationship Id="rId2" Type="http://schemas.openxmlformats.org/officeDocument/2006/relationships/printerSettings" Target="../printerSettings/printerSettings1162.bin"/><Relationship Id="rId1" Type="http://schemas.openxmlformats.org/officeDocument/2006/relationships/printerSettings" Target="../printerSettings/printerSettings1161.bin"/><Relationship Id="rId5" Type="http://schemas.openxmlformats.org/officeDocument/2006/relationships/printerSettings" Target="../printerSettings/printerSettings1165.bin"/><Relationship Id="rId4" Type="http://schemas.openxmlformats.org/officeDocument/2006/relationships/printerSettings" Target="../printerSettings/printerSettings1164.bin"/></Relationships>
</file>

<file path=xl/worksheets/_rels/sheet234.xml.rels><?xml version="1.0" encoding="UTF-8" standalone="yes"?>
<Relationships xmlns="http://schemas.openxmlformats.org/package/2006/relationships"><Relationship Id="rId3" Type="http://schemas.openxmlformats.org/officeDocument/2006/relationships/printerSettings" Target="../printerSettings/printerSettings1168.bin"/><Relationship Id="rId2" Type="http://schemas.openxmlformats.org/officeDocument/2006/relationships/printerSettings" Target="../printerSettings/printerSettings1167.bin"/><Relationship Id="rId1" Type="http://schemas.openxmlformats.org/officeDocument/2006/relationships/printerSettings" Target="../printerSettings/printerSettings1166.bin"/><Relationship Id="rId5" Type="http://schemas.openxmlformats.org/officeDocument/2006/relationships/printerSettings" Target="../printerSettings/printerSettings1170.bin"/><Relationship Id="rId4" Type="http://schemas.openxmlformats.org/officeDocument/2006/relationships/printerSettings" Target="../printerSettings/printerSettings1169.bin"/></Relationships>
</file>

<file path=xl/worksheets/_rels/sheet235.xml.rels><?xml version="1.0" encoding="UTF-8" standalone="yes"?>
<Relationships xmlns="http://schemas.openxmlformats.org/package/2006/relationships"><Relationship Id="rId3" Type="http://schemas.openxmlformats.org/officeDocument/2006/relationships/printerSettings" Target="../printerSettings/printerSettings1173.bin"/><Relationship Id="rId2" Type="http://schemas.openxmlformats.org/officeDocument/2006/relationships/printerSettings" Target="../printerSettings/printerSettings1172.bin"/><Relationship Id="rId1" Type="http://schemas.openxmlformats.org/officeDocument/2006/relationships/printerSettings" Target="../printerSettings/printerSettings1171.bin"/><Relationship Id="rId5" Type="http://schemas.openxmlformats.org/officeDocument/2006/relationships/printerSettings" Target="../printerSettings/printerSettings1175.bin"/><Relationship Id="rId4" Type="http://schemas.openxmlformats.org/officeDocument/2006/relationships/printerSettings" Target="../printerSettings/printerSettings1174.bin"/></Relationships>
</file>

<file path=xl/worksheets/_rels/sheet236.xml.rels><?xml version="1.0" encoding="UTF-8" standalone="yes"?>
<Relationships xmlns="http://schemas.openxmlformats.org/package/2006/relationships"><Relationship Id="rId3" Type="http://schemas.openxmlformats.org/officeDocument/2006/relationships/printerSettings" Target="../printerSettings/printerSettings1178.bin"/><Relationship Id="rId2" Type="http://schemas.openxmlformats.org/officeDocument/2006/relationships/printerSettings" Target="../printerSettings/printerSettings1177.bin"/><Relationship Id="rId1" Type="http://schemas.openxmlformats.org/officeDocument/2006/relationships/printerSettings" Target="../printerSettings/printerSettings1176.bin"/><Relationship Id="rId5" Type="http://schemas.openxmlformats.org/officeDocument/2006/relationships/printerSettings" Target="../printerSettings/printerSettings1180.bin"/><Relationship Id="rId4" Type="http://schemas.openxmlformats.org/officeDocument/2006/relationships/printerSettings" Target="../printerSettings/printerSettings1179.bin"/></Relationships>
</file>

<file path=xl/worksheets/_rels/sheet237.xml.rels><?xml version="1.0" encoding="UTF-8" standalone="yes"?>
<Relationships xmlns="http://schemas.openxmlformats.org/package/2006/relationships"><Relationship Id="rId3" Type="http://schemas.openxmlformats.org/officeDocument/2006/relationships/printerSettings" Target="../printerSettings/printerSettings1183.bin"/><Relationship Id="rId2" Type="http://schemas.openxmlformats.org/officeDocument/2006/relationships/printerSettings" Target="../printerSettings/printerSettings1182.bin"/><Relationship Id="rId1" Type="http://schemas.openxmlformats.org/officeDocument/2006/relationships/printerSettings" Target="../printerSettings/printerSettings1181.bin"/><Relationship Id="rId5" Type="http://schemas.openxmlformats.org/officeDocument/2006/relationships/printerSettings" Target="../printerSettings/printerSettings1185.bin"/><Relationship Id="rId4" Type="http://schemas.openxmlformats.org/officeDocument/2006/relationships/printerSettings" Target="../printerSettings/printerSettings1184.bin"/></Relationships>
</file>

<file path=xl/worksheets/_rels/sheet238.xml.rels><?xml version="1.0" encoding="UTF-8" standalone="yes"?>
<Relationships xmlns="http://schemas.openxmlformats.org/package/2006/relationships"><Relationship Id="rId3" Type="http://schemas.openxmlformats.org/officeDocument/2006/relationships/printerSettings" Target="../printerSettings/printerSettings1188.bin"/><Relationship Id="rId2" Type="http://schemas.openxmlformats.org/officeDocument/2006/relationships/printerSettings" Target="../printerSettings/printerSettings1187.bin"/><Relationship Id="rId1" Type="http://schemas.openxmlformats.org/officeDocument/2006/relationships/printerSettings" Target="../printerSettings/printerSettings1186.bin"/><Relationship Id="rId5" Type="http://schemas.openxmlformats.org/officeDocument/2006/relationships/printerSettings" Target="../printerSettings/printerSettings1190.bin"/><Relationship Id="rId4" Type="http://schemas.openxmlformats.org/officeDocument/2006/relationships/printerSettings" Target="../printerSettings/printerSettings1189.bin"/></Relationships>
</file>

<file path=xl/worksheets/_rels/sheet239.xml.rels><?xml version="1.0" encoding="UTF-8" standalone="yes"?>
<Relationships xmlns="http://schemas.openxmlformats.org/package/2006/relationships"><Relationship Id="rId3" Type="http://schemas.openxmlformats.org/officeDocument/2006/relationships/printerSettings" Target="../printerSettings/printerSettings1193.bin"/><Relationship Id="rId2" Type="http://schemas.openxmlformats.org/officeDocument/2006/relationships/printerSettings" Target="../printerSettings/printerSettings1192.bin"/><Relationship Id="rId1" Type="http://schemas.openxmlformats.org/officeDocument/2006/relationships/printerSettings" Target="../printerSettings/printerSettings1191.bin"/><Relationship Id="rId5" Type="http://schemas.openxmlformats.org/officeDocument/2006/relationships/printerSettings" Target="../printerSettings/printerSettings1195.bin"/><Relationship Id="rId4" Type="http://schemas.openxmlformats.org/officeDocument/2006/relationships/printerSettings" Target="../printerSettings/printerSettings119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40.xml.rels><?xml version="1.0" encoding="UTF-8" standalone="yes"?>
<Relationships xmlns="http://schemas.openxmlformats.org/package/2006/relationships"><Relationship Id="rId3" Type="http://schemas.openxmlformats.org/officeDocument/2006/relationships/printerSettings" Target="../printerSettings/printerSettings1198.bin"/><Relationship Id="rId2" Type="http://schemas.openxmlformats.org/officeDocument/2006/relationships/printerSettings" Target="../printerSettings/printerSettings1197.bin"/><Relationship Id="rId1" Type="http://schemas.openxmlformats.org/officeDocument/2006/relationships/printerSettings" Target="../printerSettings/printerSettings1196.bin"/><Relationship Id="rId5" Type="http://schemas.openxmlformats.org/officeDocument/2006/relationships/printerSettings" Target="../printerSettings/printerSettings1200.bin"/><Relationship Id="rId4" Type="http://schemas.openxmlformats.org/officeDocument/2006/relationships/printerSettings" Target="../printerSettings/printerSettings1199.bin"/></Relationships>
</file>

<file path=xl/worksheets/_rels/sheet241.xml.rels><?xml version="1.0" encoding="UTF-8" standalone="yes"?>
<Relationships xmlns="http://schemas.openxmlformats.org/package/2006/relationships"><Relationship Id="rId3" Type="http://schemas.openxmlformats.org/officeDocument/2006/relationships/printerSettings" Target="../printerSettings/printerSettings1203.bin"/><Relationship Id="rId2" Type="http://schemas.openxmlformats.org/officeDocument/2006/relationships/printerSettings" Target="../printerSettings/printerSettings1202.bin"/><Relationship Id="rId1" Type="http://schemas.openxmlformats.org/officeDocument/2006/relationships/printerSettings" Target="../printerSettings/printerSettings1201.bin"/><Relationship Id="rId5" Type="http://schemas.openxmlformats.org/officeDocument/2006/relationships/printerSettings" Target="../printerSettings/printerSettings1205.bin"/><Relationship Id="rId4" Type="http://schemas.openxmlformats.org/officeDocument/2006/relationships/printerSettings" Target="../printerSettings/printerSettings1204.bin"/></Relationships>
</file>

<file path=xl/worksheets/_rels/sheet242.xml.rels><?xml version="1.0" encoding="UTF-8" standalone="yes"?>
<Relationships xmlns="http://schemas.openxmlformats.org/package/2006/relationships"><Relationship Id="rId3" Type="http://schemas.openxmlformats.org/officeDocument/2006/relationships/printerSettings" Target="../printerSettings/printerSettings1208.bin"/><Relationship Id="rId2" Type="http://schemas.openxmlformats.org/officeDocument/2006/relationships/printerSettings" Target="../printerSettings/printerSettings1207.bin"/><Relationship Id="rId1" Type="http://schemas.openxmlformats.org/officeDocument/2006/relationships/printerSettings" Target="../printerSettings/printerSettings1206.bin"/><Relationship Id="rId5" Type="http://schemas.openxmlformats.org/officeDocument/2006/relationships/printerSettings" Target="../printerSettings/printerSettings1210.bin"/><Relationship Id="rId4" Type="http://schemas.openxmlformats.org/officeDocument/2006/relationships/printerSettings" Target="../printerSettings/printerSettings1209.bin"/></Relationships>
</file>

<file path=xl/worksheets/_rels/sheet243.xml.rels><?xml version="1.0" encoding="UTF-8" standalone="yes"?>
<Relationships xmlns="http://schemas.openxmlformats.org/package/2006/relationships"><Relationship Id="rId3" Type="http://schemas.openxmlformats.org/officeDocument/2006/relationships/printerSettings" Target="../printerSettings/printerSettings1213.bin"/><Relationship Id="rId2" Type="http://schemas.openxmlformats.org/officeDocument/2006/relationships/printerSettings" Target="../printerSettings/printerSettings1212.bin"/><Relationship Id="rId1" Type="http://schemas.openxmlformats.org/officeDocument/2006/relationships/printerSettings" Target="../printerSettings/printerSettings1211.bin"/><Relationship Id="rId5" Type="http://schemas.openxmlformats.org/officeDocument/2006/relationships/printerSettings" Target="../printerSettings/printerSettings1215.bin"/><Relationship Id="rId4" Type="http://schemas.openxmlformats.org/officeDocument/2006/relationships/printerSettings" Target="../printerSettings/printerSettings1214.bin"/></Relationships>
</file>

<file path=xl/worksheets/_rels/sheet244.xml.rels><?xml version="1.0" encoding="UTF-8" standalone="yes"?>
<Relationships xmlns="http://schemas.openxmlformats.org/package/2006/relationships"><Relationship Id="rId3" Type="http://schemas.openxmlformats.org/officeDocument/2006/relationships/printerSettings" Target="../printerSettings/printerSettings1218.bin"/><Relationship Id="rId2" Type="http://schemas.openxmlformats.org/officeDocument/2006/relationships/printerSettings" Target="../printerSettings/printerSettings1217.bin"/><Relationship Id="rId1" Type="http://schemas.openxmlformats.org/officeDocument/2006/relationships/printerSettings" Target="../printerSettings/printerSettings1216.bin"/><Relationship Id="rId5" Type="http://schemas.openxmlformats.org/officeDocument/2006/relationships/printerSettings" Target="../printerSettings/printerSettings1220.bin"/><Relationship Id="rId4" Type="http://schemas.openxmlformats.org/officeDocument/2006/relationships/printerSettings" Target="../printerSettings/printerSettings1219.bin"/></Relationships>
</file>

<file path=xl/worksheets/_rels/sheet245.xml.rels><?xml version="1.0" encoding="UTF-8" standalone="yes"?>
<Relationships xmlns="http://schemas.openxmlformats.org/package/2006/relationships"><Relationship Id="rId3" Type="http://schemas.openxmlformats.org/officeDocument/2006/relationships/printerSettings" Target="../printerSettings/printerSettings1223.bin"/><Relationship Id="rId2" Type="http://schemas.openxmlformats.org/officeDocument/2006/relationships/printerSettings" Target="../printerSettings/printerSettings1222.bin"/><Relationship Id="rId1" Type="http://schemas.openxmlformats.org/officeDocument/2006/relationships/printerSettings" Target="../printerSettings/printerSettings1221.bin"/><Relationship Id="rId5" Type="http://schemas.openxmlformats.org/officeDocument/2006/relationships/printerSettings" Target="../printerSettings/printerSettings1225.bin"/><Relationship Id="rId4" Type="http://schemas.openxmlformats.org/officeDocument/2006/relationships/printerSettings" Target="../printerSettings/printerSettings1224.bin"/></Relationships>
</file>

<file path=xl/worksheets/_rels/sheet246.xml.rels><?xml version="1.0" encoding="UTF-8" standalone="yes"?>
<Relationships xmlns="http://schemas.openxmlformats.org/package/2006/relationships"><Relationship Id="rId3" Type="http://schemas.openxmlformats.org/officeDocument/2006/relationships/printerSettings" Target="../printerSettings/printerSettings1228.bin"/><Relationship Id="rId2" Type="http://schemas.openxmlformats.org/officeDocument/2006/relationships/printerSettings" Target="../printerSettings/printerSettings1227.bin"/><Relationship Id="rId1" Type="http://schemas.openxmlformats.org/officeDocument/2006/relationships/printerSettings" Target="../printerSettings/printerSettings1226.bin"/><Relationship Id="rId5" Type="http://schemas.openxmlformats.org/officeDocument/2006/relationships/printerSettings" Target="../printerSettings/printerSettings1230.bin"/><Relationship Id="rId4" Type="http://schemas.openxmlformats.org/officeDocument/2006/relationships/printerSettings" Target="../printerSettings/printerSettings1229.bin"/></Relationships>
</file>

<file path=xl/worksheets/_rels/sheet247.xml.rels><?xml version="1.0" encoding="UTF-8" standalone="yes"?>
<Relationships xmlns="http://schemas.openxmlformats.org/package/2006/relationships"><Relationship Id="rId3" Type="http://schemas.openxmlformats.org/officeDocument/2006/relationships/printerSettings" Target="../printerSettings/printerSettings1233.bin"/><Relationship Id="rId2" Type="http://schemas.openxmlformats.org/officeDocument/2006/relationships/printerSettings" Target="../printerSettings/printerSettings1232.bin"/><Relationship Id="rId1" Type="http://schemas.openxmlformats.org/officeDocument/2006/relationships/printerSettings" Target="../printerSettings/printerSettings1231.bin"/><Relationship Id="rId5" Type="http://schemas.openxmlformats.org/officeDocument/2006/relationships/printerSettings" Target="../printerSettings/printerSettings1235.bin"/><Relationship Id="rId4" Type="http://schemas.openxmlformats.org/officeDocument/2006/relationships/printerSettings" Target="../printerSettings/printerSettings1234.bin"/></Relationships>
</file>

<file path=xl/worksheets/_rels/sheet248.xml.rels><?xml version="1.0" encoding="UTF-8" standalone="yes"?>
<Relationships xmlns="http://schemas.openxmlformats.org/package/2006/relationships"><Relationship Id="rId3" Type="http://schemas.openxmlformats.org/officeDocument/2006/relationships/printerSettings" Target="../printerSettings/printerSettings1238.bin"/><Relationship Id="rId2" Type="http://schemas.openxmlformats.org/officeDocument/2006/relationships/printerSettings" Target="../printerSettings/printerSettings1237.bin"/><Relationship Id="rId1" Type="http://schemas.openxmlformats.org/officeDocument/2006/relationships/printerSettings" Target="../printerSettings/printerSettings1236.bin"/><Relationship Id="rId5" Type="http://schemas.openxmlformats.org/officeDocument/2006/relationships/printerSettings" Target="../printerSettings/printerSettings1240.bin"/><Relationship Id="rId4" Type="http://schemas.openxmlformats.org/officeDocument/2006/relationships/printerSettings" Target="../printerSettings/printerSettings1239.bin"/></Relationships>
</file>

<file path=xl/worksheets/_rels/sheet249.xml.rels><?xml version="1.0" encoding="UTF-8" standalone="yes"?>
<Relationships xmlns="http://schemas.openxmlformats.org/package/2006/relationships"><Relationship Id="rId3" Type="http://schemas.openxmlformats.org/officeDocument/2006/relationships/printerSettings" Target="../printerSettings/printerSettings1243.bin"/><Relationship Id="rId2" Type="http://schemas.openxmlformats.org/officeDocument/2006/relationships/printerSettings" Target="../printerSettings/printerSettings1242.bin"/><Relationship Id="rId1" Type="http://schemas.openxmlformats.org/officeDocument/2006/relationships/printerSettings" Target="../printerSettings/printerSettings1241.bin"/><Relationship Id="rId5" Type="http://schemas.openxmlformats.org/officeDocument/2006/relationships/printerSettings" Target="../printerSettings/printerSettings1245.bin"/><Relationship Id="rId4" Type="http://schemas.openxmlformats.org/officeDocument/2006/relationships/printerSettings" Target="../printerSettings/printerSettings124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250.xml.rels><?xml version="1.0" encoding="UTF-8" standalone="yes"?>
<Relationships xmlns="http://schemas.openxmlformats.org/package/2006/relationships"><Relationship Id="rId3" Type="http://schemas.openxmlformats.org/officeDocument/2006/relationships/printerSettings" Target="../printerSettings/printerSettings1248.bin"/><Relationship Id="rId2" Type="http://schemas.openxmlformats.org/officeDocument/2006/relationships/printerSettings" Target="../printerSettings/printerSettings1247.bin"/><Relationship Id="rId1" Type="http://schemas.openxmlformats.org/officeDocument/2006/relationships/printerSettings" Target="../printerSettings/printerSettings1246.bin"/><Relationship Id="rId5" Type="http://schemas.openxmlformats.org/officeDocument/2006/relationships/printerSettings" Target="../printerSettings/printerSettings1250.bin"/><Relationship Id="rId4" Type="http://schemas.openxmlformats.org/officeDocument/2006/relationships/printerSettings" Target="../printerSettings/printerSettings1249.bin"/></Relationships>
</file>

<file path=xl/worksheets/_rels/sheet251.xml.rels><?xml version="1.0" encoding="UTF-8" standalone="yes"?>
<Relationships xmlns="http://schemas.openxmlformats.org/package/2006/relationships"><Relationship Id="rId3" Type="http://schemas.openxmlformats.org/officeDocument/2006/relationships/printerSettings" Target="../printerSettings/printerSettings1253.bin"/><Relationship Id="rId2" Type="http://schemas.openxmlformats.org/officeDocument/2006/relationships/printerSettings" Target="../printerSettings/printerSettings1252.bin"/><Relationship Id="rId1" Type="http://schemas.openxmlformats.org/officeDocument/2006/relationships/printerSettings" Target="../printerSettings/printerSettings1251.bin"/><Relationship Id="rId5" Type="http://schemas.openxmlformats.org/officeDocument/2006/relationships/printerSettings" Target="../printerSettings/printerSettings1255.bin"/><Relationship Id="rId4" Type="http://schemas.openxmlformats.org/officeDocument/2006/relationships/printerSettings" Target="../printerSettings/printerSettings1254.bin"/></Relationships>
</file>

<file path=xl/worksheets/_rels/sheet252.xml.rels><?xml version="1.0" encoding="UTF-8" standalone="yes"?>
<Relationships xmlns="http://schemas.openxmlformats.org/package/2006/relationships"><Relationship Id="rId3" Type="http://schemas.openxmlformats.org/officeDocument/2006/relationships/printerSettings" Target="../printerSettings/printerSettings1258.bin"/><Relationship Id="rId2" Type="http://schemas.openxmlformats.org/officeDocument/2006/relationships/printerSettings" Target="../printerSettings/printerSettings1257.bin"/><Relationship Id="rId1" Type="http://schemas.openxmlformats.org/officeDocument/2006/relationships/printerSettings" Target="../printerSettings/printerSettings1256.bin"/><Relationship Id="rId5" Type="http://schemas.openxmlformats.org/officeDocument/2006/relationships/printerSettings" Target="../printerSettings/printerSettings1260.bin"/><Relationship Id="rId4" Type="http://schemas.openxmlformats.org/officeDocument/2006/relationships/printerSettings" Target="../printerSettings/printerSettings1259.bin"/></Relationships>
</file>

<file path=xl/worksheets/_rels/sheet253.xml.rels><?xml version="1.0" encoding="UTF-8" standalone="yes"?>
<Relationships xmlns="http://schemas.openxmlformats.org/package/2006/relationships"><Relationship Id="rId3" Type="http://schemas.openxmlformats.org/officeDocument/2006/relationships/printerSettings" Target="../printerSettings/printerSettings1263.bin"/><Relationship Id="rId2" Type="http://schemas.openxmlformats.org/officeDocument/2006/relationships/printerSettings" Target="../printerSettings/printerSettings1262.bin"/><Relationship Id="rId1" Type="http://schemas.openxmlformats.org/officeDocument/2006/relationships/printerSettings" Target="../printerSettings/printerSettings1261.bin"/><Relationship Id="rId5" Type="http://schemas.openxmlformats.org/officeDocument/2006/relationships/printerSettings" Target="../printerSettings/printerSettings1265.bin"/><Relationship Id="rId4" Type="http://schemas.openxmlformats.org/officeDocument/2006/relationships/printerSettings" Target="../printerSettings/printerSettings1264.bin"/></Relationships>
</file>

<file path=xl/worksheets/_rels/sheet254.xml.rels><?xml version="1.0" encoding="UTF-8" standalone="yes"?>
<Relationships xmlns="http://schemas.openxmlformats.org/package/2006/relationships"><Relationship Id="rId3" Type="http://schemas.openxmlformats.org/officeDocument/2006/relationships/printerSettings" Target="../printerSettings/printerSettings1268.bin"/><Relationship Id="rId2" Type="http://schemas.openxmlformats.org/officeDocument/2006/relationships/printerSettings" Target="../printerSettings/printerSettings1267.bin"/><Relationship Id="rId1" Type="http://schemas.openxmlformats.org/officeDocument/2006/relationships/printerSettings" Target="../printerSettings/printerSettings1266.bin"/><Relationship Id="rId5" Type="http://schemas.openxmlformats.org/officeDocument/2006/relationships/printerSettings" Target="../printerSettings/printerSettings1270.bin"/><Relationship Id="rId4" Type="http://schemas.openxmlformats.org/officeDocument/2006/relationships/printerSettings" Target="../printerSettings/printerSettings1269.bin"/></Relationships>
</file>

<file path=xl/worksheets/_rels/sheet255.xml.rels><?xml version="1.0" encoding="UTF-8" standalone="yes"?>
<Relationships xmlns="http://schemas.openxmlformats.org/package/2006/relationships"><Relationship Id="rId3" Type="http://schemas.openxmlformats.org/officeDocument/2006/relationships/printerSettings" Target="../printerSettings/printerSettings1273.bin"/><Relationship Id="rId2" Type="http://schemas.openxmlformats.org/officeDocument/2006/relationships/printerSettings" Target="../printerSettings/printerSettings1272.bin"/><Relationship Id="rId1" Type="http://schemas.openxmlformats.org/officeDocument/2006/relationships/printerSettings" Target="../printerSettings/printerSettings1271.bin"/><Relationship Id="rId5" Type="http://schemas.openxmlformats.org/officeDocument/2006/relationships/printerSettings" Target="../printerSettings/printerSettings1275.bin"/><Relationship Id="rId4" Type="http://schemas.openxmlformats.org/officeDocument/2006/relationships/printerSettings" Target="../printerSettings/printerSettings1274.bin"/></Relationships>
</file>

<file path=xl/worksheets/_rels/sheet256.xml.rels><?xml version="1.0" encoding="UTF-8" standalone="yes"?>
<Relationships xmlns="http://schemas.openxmlformats.org/package/2006/relationships"><Relationship Id="rId3" Type="http://schemas.openxmlformats.org/officeDocument/2006/relationships/printerSettings" Target="../printerSettings/printerSettings1278.bin"/><Relationship Id="rId2" Type="http://schemas.openxmlformats.org/officeDocument/2006/relationships/printerSettings" Target="../printerSettings/printerSettings1277.bin"/><Relationship Id="rId1" Type="http://schemas.openxmlformats.org/officeDocument/2006/relationships/printerSettings" Target="../printerSettings/printerSettings1276.bin"/><Relationship Id="rId5" Type="http://schemas.openxmlformats.org/officeDocument/2006/relationships/printerSettings" Target="../printerSettings/printerSettings1280.bin"/><Relationship Id="rId4" Type="http://schemas.openxmlformats.org/officeDocument/2006/relationships/printerSettings" Target="../printerSettings/printerSettings1279.bin"/></Relationships>
</file>

<file path=xl/worksheets/_rels/sheet257.xml.rels><?xml version="1.0" encoding="UTF-8" standalone="yes"?>
<Relationships xmlns="http://schemas.openxmlformats.org/package/2006/relationships"><Relationship Id="rId3" Type="http://schemas.openxmlformats.org/officeDocument/2006/relationships/printerSettings" Target="../printerSettings/printerSettings1283.bin"/><Relationship Id="rId2" Type="http://schemas.openxmlformats.org/officeDocument/2006/relationships/printerSettings" Target="../printerSettings/printerSettings1282.bin"/><Relationship Id="rId1" Type="http://schemas.openxmlformats.org/officeDocument/2006/relationships/printerSettings" Target="../printerSettings/printerSettings1281.bin"/><Relationship Id="rId5" Type="http://schemas.openxmlformats.org/officeDocument/2006/relationships/printerSettings" Target="../printerSettings/printerSettings1285.bin"/><Relationship Id="rId4" Type="http://schemas.openxmlformats.org/officeDocument/2006/relationships/printerSettings" Target="../printerSettings/printerSettings1284.bin"/></Relationships>
</file>

<file path=xl/worksheets/_rels/sheet258.xml.rels><?xml version="1.0" encoding="UTF-8" standalone="yes"?>
<Relationships xmlns="http://schemas.openxmlformats.org/package/2006/relationships"><Relationship Id="rId3" Type="http://schemas.openxmlformats.org/officeDocument/2006/relationships/printerSettings" Target="../printerSettings/printerSettings1288.bin"/><Relationship Id="rId2" Type="http://schemas.openxmlformats.org/officeDocument/2006/relationships/printerSettings" Target="../printerSettings/printerSettings1287.bin"/><Relationship Id="rId1" Type="http://schemas.openxmlformats.org/officeDocument/2006/relationships/printerSettings" Target="../printerSettings/printerSettings1286.bin"/><Relationship Id="rId5" Type="http://schemas.openxmlformats.org/officeDocument/2006/relationships/printerSettings" Target="../printerSettings/printerSettings1290.bin"/><Relationship Id="rId4" Type="http://schemas.openxmlformats.org/officeDocument/2006/relationships/printerSettings" Target="../printerSettings/printerSettings1289.bin"/></Relationships>
</file>

<file path=xl/worksheets/_rels/sheet259.xml.rels><?xml version="1.0" encoding="UTF-8" standalone="yes"?>
<Relationships xmlns="http://schemas.openxmlformats.org/package/2006/relationships"><Relationship Id="rId3" Type="http://schemas.openxmlformats.org/officeDocument/2006/relationships/printerSettings" Target="../printerSettings/printerSettings1293.bin"/><Relationship Id="rId2" Type="http://schemas.openxmlformats.org/officeDocument/2006/relationships/printerSettings" Target="../printerSettings/printerSettings1292.bin"/><Relationship Id="rId1" Type="http://schemas.openxmlformats.org/officeDocument/2006/relationships/printerSettings" Target="../printerSettings/printerSettings1291.bin"/><Relationship Id="rId5" Type="http://schemas.openxmlformats.org/officeDocument/2006/relationships/printerSettings" Target="../printerSettings/printerSettings1295.bin"/><Relationship Id="rId4" Type="http://schemas.openxmlformats.org/officeDocument/2006/relationships/printerSettings" Target="../printerSettings/printerSettings1294.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260.xml.rels><?xml version="1.0" encoding="UTF-8" standalone="yes"?>
<Relationships xmlns="http://schemas.openxmlformats.org/package/2006/relationships"><Relationship Id="rId3" Type="http://schemas.openxmlformats.org/officeDocument/2006/relationships/printerSettings" Target="../printerSettings/printerSettings1298.bin"/><Relationship Id="rId2" Type="http://schemas.openxmlformats.org/officeDocument/2006/relationships/printerSettings" Target="../printerSettings/printerSettings1297.bin"/><Relationship Id="rId1" Type="http://schemas.openxmlformats.org/officeDocument/2006/relationships/printerSettings" Target="../printerSettings/printerSettings1296.bin"/><Relationship Id="rId5" Type="http://schemas.openxmlformats.org/officeDocument/2006/relationships/printerSettings" Target="../printerSettings/printerSettings1300.bin"/><Relationship Id="rId4" Type="http://schemas.openxmlformats.org/officeDocument/2006/relationships/printerSettings" Target="../printerSettings/printerSettings1299.bin"/></Relationships>
</file>

<file path=xl/worksheets/_rels/sheet261.xml.rels><?xml version="1.0" encoding="UTF-8" standalone="yes"?>
<Relationships xmlns="http://schemas.openxmlformats.org/package/2006/relationships"><Relationship Id="rId3" Type="http://schemas.openxmlformats.org/officeDocument/2006/relationships/printerSettings" Target="../printerSettings/printerSettings1303.bin"/><Relationship Id="rId2" Type="http://schemas.openxmlformats.org/officeDocument/2006/relationships/printerSettings" Target="../printerSettings/printerSettings1302.bin"/><Relationship Id="rId1" Type="http://schemas.openxmlformats.org/officeDocument/2006/relationships/printerSettings" Target="../printerSettings/printerSettings1301.bin"/><Relationship Id="rId5" Type="http://schemas.openxmlformats.org/officeDocument/2006/relationships/printerSettings" Target="../printerSettings/printerSettings1305.bin"/><Relationship Id="rId4" Type="http://schemas.openxmlformats.org/officeDocument/2006/relationships/printerSettings" Target="../printerSettings/printerSettings1304.bin"/></Relationships>
</file>

<file path=xl/worksheets/_rels/sheet262.xml.rels><?xml version="1.0" encoding="UTF-8" standalone="yes"?>
<Relationships xmlns="http://schemas.openxmlformats.org/package/2006/relationships"><Relationship Id="rId3" Type="http://schemas.openxmlformats.org/officeDocument/2006/relationships/printerSettings" Target="../printerSettings/printerSettings1308.bin"/><Relationship Id="rId2" Type="http://schemas.openxmlformats.org/officeDocument/2006/relationships/printerSettings" Target="../printerSettings/printerSettings1307.bin"/><Relationship Id="rId1" Type="http://schemas.openxmlformats.org/officeDocument/2006/relationships/printerSettings" Target="../printerSettings/printerSettings1306.bin"/><Relationship Id="rId5" Type="http://schemas.openxmlformats.org/officeDocument/2006/relationships/printerSettings" Target="../printerSettings/printerSettings1310.bin"/><Relationship Id="rId4" Type="http://schemas.openxmlformats.org/officeDocument/2006/relationships/printerSettings" Target="../printerSettings/printerSettings1309.bin"/></Relationships>
</file>

<file path=xl/worksheets/_rels/sheet263.xml.rels><?xml version="1.0" encoding="UTF-8" standalone="yes"?>
<Relationships xmlns="http://schemas.openxmlformats.org/package/2006/relationships"><Relationship Id="rId3" Type="http://schemas.openxmlformats.org/officeDocument/2006/relationships/printerSettings" Target="../printerSettings/printerSettings1313.bin"/><Relationship Id="rId2" Type="http://schemas.openxmlformats.org/officeDocument/2006/relationships/printerSettings" Target="../printerSettings/printerSettings1312.bin"/><Relationship Id="rId1" Type="http://schemas.openxmlformats.org/officeDocument/2006/relationships/printerSettings" Target="../printerSettings/printerSettings1311.bin"/><Relationship Id="rId5" Type="http://schemas.openxmlformats.org/officeDocument/2006/relationships/printerSettings" Target="../printerSettings/printerSettings1315.bin"/><Relationship Id="rId4" Type="http://schemas.openxmlformats.org/officeDocument/2006/relationships/printerSettings" Target="../printerSettings/printerSettings1314.bin"/></Relationships>
</file>

<file path=xl/worksheets/_rels/sheet264.xml.rels><?xml version="1.0" encoding="UTF-8" standalone="yes"?>
<Relationships xmlns="http://schemas.openxmlformats.org/package/2006/relationships"><Relationship Id="rId3" Type="http://schemas.openxmlformats.org/officeDocument/2006/relationships/printerSettings" Target="../printerSettings/printerSettings1318.bin"/><Relationship Id="rId2" Type="http://schemas.openxmlformats.org/officeDocument/2006/relationships/printerSettings" Target="../printerSettings/printerSettings1317.bin"/><Relationship Id="rId1" Type="http://schemas.openxmlformats.org/officeDocument/2006/relationships/printerSettings" Target="../printerSettings/printerSettings1316.bin"/><Relationship Id="rId5" Type="http://schemas.openxmlformats.org/officeDocument/2006/relationships/printerSettings" Target="../printerSettings/printerSettings1320.bin"/><Relationship Id="rId4" Type="http://schemas.openxmlformats.org/officeDocument/2006/relationships/printerSettings" Target="../printerSettings/printerSettings1319.bin"/></Relationships>
</file>

<file path=xl/worksheets/_rels/sheet265.xml.rels><?xml version="1.0" encoding="UTF-8" standalone="yes"?>
<Relationships xmlns="http://schemas.openxmlformats.org/package/2006/relationships"><Relationship Id="rId3" Type="http://schemas.openxmlformats.org/officeDocument/2006/relationships/printerSettings" Target="../printerSettings/printerSettings1323.bin"/><Relationship Id="rId2" Type="http://schemas.openxmlformats.org/officeDocument/2006/relationships/printerSettings" Target="../printerSettings/printerSettings1322.bin"/><Relationship Id="rId1" Type="http://schemas.openxmlformats.org/officeDocument/2006/relationships/printerSettings" Target="../printerSettings/printerSettings1321.bin"/><Relationship Id="rId5" Type="http://schemas.openxmlformats.org/officeDocument/2006/relationships/printerSettings" Target="../printerSettings/printerSettings1325.bin"/><Relationship Id="rId4" Type="http://schemas.openxmlformats.org/officeDocument/2006/relationships/printerSettings" Target="../printerSettings/printerSettings1324.bin"/></Relationships>
</file>

<file path=xl/worksheets/_rels/sheet266.xml.rels><?xml version="1.0" encoding="UTF-8" standalone="yes"?>
<Relationships xmlns="http://schemas.openxmlformats.org/package/2006/relationships"><Relationship Id="rId3" Type="http://schemas.openxmlformats.org/officeDocument/2006/relationships/printerSettings" Target="../printerSettings/printerSettings1328.bin"/><Relationship Id="rId2" Type="http://schemas.openxmlformats.org/officeDocument/2006/relationships/printerSettings" Target="../printerSettings/printerSettings1327.bin"/><Relationship Id="rId1" Type="http://schemas.openxmlformats.org/officeDocument/2006/relationships/printerSettings" Target="../printerSettings/printerSettings1326.bin"/><Relationship Id="rId5" Type="http://schemas.openxmlformats.org/officeDocument/2006/relationships/printerSettings" Target="../printerSettings/printerSettings1330.bin"/><Relationship Id="rId4" Type="http://schemas.openxmlformats.org/officeDocument/2006/relationships/printerSettings" Target="../printerSettings/printerSettings1329.bin"/></Relationships>
</file>

<file path=xl/worksheets/_rels/sheet267.xml.rels><?xml version="1.0" encoding="UTF-8" standalone="yes"?>
<Relationships xmlns="http://schemas.openxmlformats.org/package/2006/relationships"><Relationship Id="rId3" Type="http://schemas.openxmlformats.org/officeDocument/2006/relationships/printerSettings" Target="../printerSettings/printerSettings1333.bin"/><Relationship Id="rId2" Type="http://schemas.openxmlformats.org/officeDocument/2006/relationships/printerSettings" Target="../printerSettings/printerSettings1332.bin"/><Relationship Id="rId1" Type="http://schemas.openxmlformats.org/officeDocument/2006/relationships/printerSettings" Target="../printerSettings/printerSettings1331.bin"/><Relationship Id="rId5" Type="http://schemas.openxmlformats.org/officeDocument/2006/relationships/printerSettings" Target="../printerSettings/printerSettings1335.bin"/><Relationship Id="rId4" Type="http://schemas.openxmlformats.org/officeDocument/2006/relationships/printerSettings" Target="../printerSettings/printerSettings1334.bin"/></Relationships>
</file>

<file path=xl/worksheets/_rels/sheet268.xml.rels><?xml version="1.0" encoding="UTF-8" standalone="yes"?>
<Relationships xmlns="http://schemas.openxmlformats.org/package/2006/relationships"><Relationship Id="rId3" Type="http://schemas.openxmlformats.org/officeDocument/2006/relationships/printerSettings" Target="../printerSettings/printerSettings1338.bin"/><Relationship Id="rId2" Type="http://schemas.openxmlformats.org/officeDocument/2006/relationships/printerSettings" Target="../printerSettings/printerSettings1337.bin"/><Relationship Id="rId1" Type="http://schemas.openxmlformats.org/officeDocument/2006/relationships/printerSettings" Target="../printerSettings/printerSettings1336.bin"/><Relationship Id="rId5" Type="http://schemas.openxmlformats.org/officeDocument/2006/relationships/printerSettings" Target="../printerSettings/printerSettings1340.bin"/><Relationship Id="rId4" Type="http://schemas.openxmlformats.org/officeDocument/2006/relationships/printerSettings" Target="../printerSettings/printerSettings1339.bin"/></Relationships>
</file>

<file path=xl/worksheets/_rels/sheet269.xml.rels><?xml version="1.0" encoding="UTF-8" standalone="yes"?>
<Relationships xmlns="http://schemas.openxmlformats.org/package/2006/relationships"><Relationship Id="rId3" Type="http://schemas.openxmlformats.org/officeDocument/2006/relationships/printerSettings" Target="../printerSettings/printerSettings1343.bin"/><Relationship Id="rId2" Type="http://schemas.openxmlformats.org/officeDocument/2006/relationships/printerSettings" Target="../printerSettings/printerSettings1342.bin"/><Relationship Id="rId1" Type="http://schemas.openxmlformats.org/officeDocument/2006/relationships/printerSettings" Target="../printerSettings/printerSettings1341.bin"/><Relationship Id="rId5" Type="http://schemas.openxmlformats.org/officeDocument/2006/relationships/printerSettings" Target="../printerSettings/printerSettings1345.bin"/><Relationship Id="rId4" Type="http://schemas.openxmlformats.org/officeDocument/2006/relationships/printerSettings" Target="../printerSettings/printerSettings1344.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33.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270.xml.rels><?xml version="1.0" encoding="UTF-8" standalone="yes"?>
<Relationships xmlns="http://schemas.openxmlformats.org/package/2006/relationships"><Relationship Id="rId3" Type="http://schemas.openxmlformats.org/officeDocument/2006/relationships/printerSettings" Target="../printerSettings/printerSettings1348.bin"/><Relationship Id="rId2" Type="http://schemas.openxmlformats.org/officeDocument/2006/relationships/printerSettings" Target="../printerSettings/printerSettings1347.bin"/><Relationship Id="rId1" Type="http://schemas.openxmlformats.org/officeDocument/2006/relationships/printerSettings" Target="../printerSettings/printerSettings1346.bin"/><Relationship Id="rId5" Type="http://schemas.openxmlformats.org/officeDocument/2006/relationships/printerSettings" Target="../printerSettings/printerSettings1350.bin"/><Relationship Id="rId4" Type="http://schemas.openxmlformats.org/officeDocument/2006/relationships/printerSettings" Target="../printerSettings/printerSettings1349.bin"/></Relationships>
</file>

<file path=xl/worksheets/_rels/sheet271.xml.rels><?xml version="1.0" encoding="UTF-8" standalone="yes"?>
<Relationships xmlns="http://schemas.openxmlformats.org/package/2006/relationships"><Relationship Id="rId3" Type="http://schemas.openxmlformats.org/officeDocument/2006/relationships/printerSettings" Target="../printerSettings/printerSettings1353.bin"/><Relationship Id="rId2" Type="http://schemas.openxmlformats.org/officeDocument/2006/relationships/printerSettings" Target="../printerSettings/printerSettings1352.bin"/><Relationship Id="rId1" Type="http://schemas.openxmlformats.org/officeDocument/2006/relationships/printerSettings" Target="../printerSettings/printerSettings1351.bin"/><Relationship Id="rId5" Type="http://schemas.openxmlformats.org/officeDocument/2006/relationships/printerSettings" Target="../printerSettings/printerSettings1355.bin"/><Relationship Id="rId4" Type="http://schemas.openxmlformats.org/officeDocument/2006/relationships/printerSettings" Target="../printerSettings/printerSettings1354.bin"/></Relationships>
</file>

<file path=xl/worksheets/_rels/sheet272.xml.rels><?xml version="1.0" encoding="UTF-8" standalone="yes"?>
<Relationships xmlns="http://schemas.openxmlformats.org/package/2006/relationships"><Relationship Id="rId3" Type="http://schemas.openxmlformats.org/officeDocument/2006/relationships/printerSettings" Target="../printerSettings/printerSettings1358.bin"/><Relationship Id="rId2" Type="http://schemas.openxmlformats.org/officeDocument/2006/relationships/printerSettings" Target="../printerSettings/printerSettings1357.bin"/><Relationship Id="rId1" Type="http://schemas.openxmlformats.org/officeDocument/2006/relationships/printerSettings" Target="../printerSettings/printerSettings1356.bin"/><Relationship Id="rId5" Type="http://schemas.openxmlformats.org/officeDocument/2006/relationships/printerSettings" Target="../printerSettings/printerSettings1360.bin"/><Relationship Id="rId4" Type="http://schemas.openxmlformats.org/officeDocument/2006/relationships/printerSettings" Target="../printerSettings/printerSettings1359.bin"/></Relationships>
</file>

<file path=xl/worksheets/_rels/sheet273.xml.rels><?xml version="1.0" encoding="UTF-8" standalone="yes"?>
<Relationships xmlns="http://schemas.openxmlformats.org/package/2006/relationships"><Relationship Id="rId3" Type="http://schemas.openxmlformats.org/officeDocument/2006/relationships/printerSettings" Target="../printerSettings/printerSettings1363.bin"/><Relationship Id="rId2" Type="http://schemas.openxmlformats.org/officeDocument/2006/relationships/printerSettings" Target="../printerSettings/printerSettings1362.bin"/><Relationship Id="rId1" Type="http://schemas.openxmlformats.org/officeDocument/2006/relationships/printerSettings" Target="../printerSettings/printerSettings1361.bin"/><Relationship Id="rId5" Type="http://schemas.openxmlformats.org/officeDocument/2006/relationships/printerSettings" Target="../printerSettings/printerSettings1365.bin"/><Relationship Id="rId4" Type="http://schemas.openxmlformats.org/officeDocument/2006/relationships/printerSettings" Target="../printerSettings/printerSettings1364.bin"/></Relationships>
</file>

<file path=xl/worksheets/_rels/sheet274.xml.rels><?xml version="1.0" encoding="UTF-8" standalone="yes"?>
<Relationships xmlns="http://schemas.openxmlformats.org/package/2006/relationships"><Relationship Id="rId3" Type="http://schemas.openxmlformats.org/officeDocument/2006/relationships/printerSettings" Target="../printerSettings/printerSettings1368.bin"/><Relationship Id="rId2" Type="http://schemas.openxmlformats.org/officeDocument/2006/relationships/printerSettings" Target="../printerSettings/printerSettings1367.bin"/><Relationship Id="rId1" Type="http://schemas.openxmlformats.org/officeDocument/2006/relationships/printerSettings" Target="../printerSettings/printerSettings1366.bin"/><Relationship Id="rId5" Type="http://schemas.openxmlformats.org/officeDocument/2006/relationships/printerSettings" Target="../printerSettings/printerSettings1370.bin"/><Relationship Id="rId4" Type="http://schemas.openxmlformats.org/officeDocument/2006/relationships/printerSettings" Target="../printerSettings/printerSettings1369.bin"/></Relationships>
</file>

<file path=xl/worksheets/_rels/sheet275.xml.rels><?xml version="1.0" encoding="UTF-8" standalone="yes"?>
<Relationships xmlns="http://schemas.openxmlformats.org/package/2006/relationships"><Relationship Id="rId3" Type="http://schemas.openxmlformats.org/officeDocument/2006/relationships/printerSettings" Target="../printerSettings/printerSettings1373.bin"/><Relationship Id="rId2" Type="http://schemas.openxmlformats.org/officeDocument/2006/relationships/printerSettings" Target="../printerSettings/printerSettings1372.bin"/><Relationship Id="rId1" Type="http://schemas.openxmlformats.org/officeDocument/2006/relationships/printerSettings" Target="../printerSettings/printerSettings1371.bin"/><Relationship Id="rId5" Type="http://schemas.openxmlformats.org/officeDocument/2006/relationships/printerSettings" Target="../printerSettings/printerSettings1375.bin"/><Relationship Id="rId4" Type="http://schemas.openxmlformats.org/officeDocument/2006/relationships/printerSettings" Target="../printerSettings/printerSettings1374.bin"/></Relationships>
</file>

<file path=xl/worksheets/_rels/sheet276.xml.rels><?xml version="1.0" encoding="UTF-8" standalone="yes"?>
<Relationships xmlns="http://schemas.openxmlformats.org/package/2006/relationships"><Relationship Id="rId3" Type="http://schemas.openxmlformats.org/officeDocument/2006/relationships/printerSettings" Target="../printerSettings/printerSettings1378.bin"/><Relationship Id="rId2" Type="http://schemas.openxmlformats.org/officeDocument/2006/relationships/printerSettings" Target="../printerSettings/printerSettings1377.bin"/><Relationship Id="rId1" Type="http://schemas.openxmlformats.org/officeDocument/2006/relationships/printerSettings" Target="../printerSettings/printerSettings1376.bin"/><Relationship Id="rId5" Type="http://schemas.openxmlformats.org/officeDocument/2006/relationships/printerSettings" Target="../printerSettings/printerSettings1380.bin"/><Relationship Id="rId4" Type="http://schemas.openxmlformats.org/officeDocument/2006/relationships/printerSettings" Target="../printerSettings/printerSettings1379.bin"/></Relationships>
</file>

<file path=xl/worksheets/_rels/sheet277.xml.rels><?xml version="1.0" encoding="UTF-8" standalone="yes"?>
<Relationships xmlns="http://schemas.openxmlformats.org/package/2006/relationships"><Relationship Id="rId3" Type="http://schemas.openxmlformats.org/officeDocument/2006/relationships/printerSettings" Target="../printerSettings/printerSettings1383.bin"/><Relationship Id="rId2" Type="http://schemas.openxmlformats.org/officeDocument/2006/relationships/printerSettings" Target="../printerSettings/printerSettings1382.bin"/><Relationship Id="rId1" Type="http://schemas.openxmlformats.org/officeDocument/2006/relationships/printerSettings" Target="../printerSettings/printerSettings1381.bin"/><Relationship Id="rId5" Type="http://schemas.openxmlformats.org/officeDocument/2006/relationships/printerSettings" Target="../printerSettings/printerSettings1385.bin"/><Relationship Id="rId4" Type="http://schemas.openxmlformats.org/officeDocument/2006/relationships/printerSettings" Target="../printerSettings/printerSettings1384.bin"/></Relationships>
</file>

<file path=xl/worksheets/_rels/sheet278.xml.rels><?xml version="1.0" encoding="UTF-8" standalone="yes"?>
<Relationships xmlns="http://schemas.openxmlformats.org/package/2006/relationships"><Relationship Id="rId3" Type="http://schemas.openxmlformats.org/officeDocument/2006/relationships/printerSettings" Target="../printerSettings/printerSettings1388.bin"/><Relationship Id="rId2" Type="http://schemas.openxmlformats.org/officeDocument/2006/relationships/printerSettings" Target="../printerSettings/printerSettings1387.bin"/><Relationship Id="rId1" Type="http://schemas.openxmlformats.org/officeDocument/2006/relationships/printerSettings" Target="../printerSettings/printerSettings1386.bin"/><Relationship Id="rId5" Type="http://schemas.openxmlformats.org/officeDocument/2006/relationships/printerSettings" Target="../printerSettings/printerSettings1390.bin"/><Relationship Id="rId4" Type="http://schemas.openxmlformats.org/officeDocument/2006/relationships/printerSettings" Target="../printerSettings/printerSettings1389.bin"/></Relationships>
</file>

<file path=xl/worksheets/_rels/sheet279.xml.rels><?xml version="1.0" encoding="UTF-8" standalone="yes"?>
<Relationships xmlns="http://schemas.openxmlformats.org/package/2006/relationships"><Relationship Id="rId3" Type="http://schemas.openxmlformats.org/officeDocument/2006/relationships/printerSettings" Target="../printerSettings/printerSettings1393.bin"/><Relationship Id="rId2" Type="http://schemas.openxmlformats.org/officeDocument/2006/relationships/printerSettings" Target="../printerSettings/printerSettings1392.bin"/><Relationship Id="rId1" Type="http://schemas.openxmlformats.org/officeDocument/2006/relationships/printerSettings" Target="../printerSettings/printerSettings1391.bin"/><Relationship Id="rId5" Type="http://schemas.openxmlformats.org/officeDocument/2006/relationships/printerSettings" Target="../printerSettings/printerSettings1395.bin"/><Relationship Id="rId4" Type="http://schemas.openxmlformats.org/officeDocument/2006/relationships/printerSettings" Target="../printerSettings/printerSettings139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280.xml.rels><?xml version="1.0" encoding="UTF-8" standalone="yes"?>
<Relationships xmlns="http://schemas.openxmlformats.org/package/2006/relationships"><Relationship Id="rId3" Type="http://schemas.openxmlformats.org/officeDocument/2006/relationships/printerSettings" Target="../printerSettings/printerSettings1398.bin"/><Relationship Id="rId2" Type="http://schemas.openxmlformats.org/officeDocument/2006/relationships/printerSettings" Target="../printerSettings/printerSettings1397.bin"/><Relationship Id="rId1" Type="http://schemas.openxmlformats.org/officeDocument/2006/relationships/printerSettings" Target="../printerSettings/printerSettings1396.bin"/><Relationship Id="rId5" Type="http://schemas.openxmlformats.org/officeDocument/2006/relationships/printerSettings" Target="../printerSettings/printerSettings1400.bin"/><Relationship Id="rId4" Type="http://schemas.openxmlformats.org/officeDocument/2006/relationships/printerSettings" Target="../printerSettings/printerSettings1399.bin"/></Relationships>
</file>

<file path=xl/worksheets/_rels/sheet281.xml.rels><?xml version="1.0" encoding="UTF-8" standalone="yes"?>
<Relationships xmlns="http://schemas.openxmlformats.org/package/2006/relationships"><Relationship Id="rId3" Type="http://schemas.openxmlformats.org/officeDocument/2006/relationships/printerSettings" Target="../printerSettings/printerSettings1403.bin"/><Relationship Id="rId2" Type="http://schemas.openxmlformats.org/officeDocument/2006/relationships/printerSettings" Target="../printerSettings/printerSettings1402.bin"/><Relationship Id="rId1" Type="http://schemas.openxmlformats.org/officeDocument/2006/relationships/printerSettings" Target="../printerSettings/printerSettings1401.bin"/><Relationship Id="rId5" Type="http://schemas.openxmlformats.org/officeDocument/2006/relationships/printerSettings" Target="../printerSettings/printerSettings1405.bin"/><Relationship Id="rId4" Type="http://schemas.openxmlformats.org/officeDocument/2006/relationships/printerSettings" Target="../printerSettings/printerSettings1404.bin"/></Relationships>
</file>

<file path=xl/worksheets/_rels/sheet282.xml.rels><?xml version="1.0" encoding="UTF-8" standalone="yes"?>
<Relationships xmlns="http://schemas.openxmlformats.org/package/2006/relationships"><Relationship Id="rId3" Type="http://schemas.openxmlformats.org/officeDocument/2006/relationships/printerSettings" Target="../printerSettings/printerSettings1408.bin"/><Relationship Id="rId2" Type="http://schemas.openxmlformats.org/officeDocument/2006/relationships/printerSettings" Target="../printerSettings/printerSettings1407.bin"/><Relationship Id="rId1" Type="http://schemas.openxmlformats.org/officeDocument/2006/relationships/printerSettings" Target="../printerSettings/printerSettings1406.bin"/><Relationship Id="rId5" Type="http://schemas.openxmlformats.org/officeDocument/2006/relationships/printerSettings" Target="../printerSettings/printerSettings1410.bin"/><Relationship Id="rId4" Type="http://schemas.openxmlformats.org/officeDocument/2006/relationships/printerSettings" Target="../printerSettings/printerSettings1409.bin"/></Relationships>
</file>

<file path=xl/worksheets/_rels/sheet283.xml.rels><?xml version="1.0" encoding="UTF-8" standalone="yes"?>
<Relationships xmlns="http://schemas.openxmlformats.org/package/2006/relationships"><Relationship Id="rId3" Type="http://schemas.openxmlformats.org/officeDocument/2006/relationships/printerSettings" Target="../printerSettings/printerSettings1413.bin"/><Relationship Id="rId2" Type="http://schemas.openxmlformats.org/officeDocument/2006/relationships/printerSettings" Target="../printerSettings/printerSettings1412.bin"/><Relationship Id="rId1" Type="http://schemas.openxmlformats.org/officeDocument/2006/relationships/printerSettings" Target="../printerSettings/printerSettings1411.bin"/><Relationship Id="rId5" Type="http://schemas.openxmlformats.org/officeDocument/2006/relationships/printerSettings" Target="../printerSettings/printerSettings1415.bin"/><Relationship Id="rId4" Type="http://schemas.openxmlformats.org/officeDocument/2006/relationships/printerSettings" Target="../printerSettings/printerSettings1414.bin"/></Relationships>
</file>

<file path=xl/worksheets/_rels/sheet284.xml.rels><?xml version="1.0" encoding="UTF-8" standalone="yes"?>
<Relationships xmlns="http://schemas.openxmlformats.org/package/2006/relationships"><Relationship Id="rId3" Type="http://schemas.openxmlformats.org/officeDocument/2006/relationships/printerSettings" Target="../printerSettings/printerSettings1418.bin"/><Relationship Id="rId2" Type="http://schemas.openxmlformats.org/officeDocument/2006/relationships/printerSettings" Target="../printerSettings/printerSettings1417.bin"/><Relationship Id="rId1" Type="http://schemas.openxmlformats.org/officeDocument/2006/relationships/printerSettings" Target="../printerSettings/printerSettings1416.bin"/><Relationship Id="rId5" Type="http://schemas.openxmlformats.org/officeDocument/2006/relationships/printerSettings" Target="../printerSettings/printerSettings1420.bin"/><Relationship Id="rId4" Type="http://schemas.openxmlformats.org/officeDocument/2006/relationships/printerSettings" Target="../printerSettings/printerSettings1419.bin"/></Relationships>
</file>

<file path=xl/worksheets/_rels/sheet285.xml.rels><?xml version="1.0" encoding="UTF-8" standalone="yes"?>
<Relationships xmlns="http://schemas.openxmlformats.org/package/2006/relationships"><Relationship Id="rId3" Type="http://schemas.openxmlformats.org/officeDocument/2006/relationships/printerSettings" Target="../printerSettings/printerSettings1423.bin"/><Relationship Id="rId2" Type="http://schemas.openxmlformats.org/officeDocument/2006/relationships/printerSettings" Target="../printerSettings/printerSettings1422.bin"/><Relationship Id="rId1" Type="http://schemas.openxmlformats.org/officeDocument/2006/relationships/printerSettings" Target="../printerSettings/printerSettings1421.bin"/><Relationship Id="rId5" Type="http://schemas.openxmlformats.org/officeDocument/2006/relationships/printerSettings" Target="../printerSettings/printerSettings1425.bin"/><Relationship Id="rId4" Type="http://schemas.openxmlformats.org/officeDocument/2006/relationships/printerSettings" Target="../printerSettings/printerSettings1424.bin"/></Relationships>
</file>

<file path=xl/worksheets/_rels/sheet286.xml.rels><?xml version="1.0" encoding="UTF-8" standalone="yes"?>
<Relationships xmlns="http://schemas.openxmlformats.org/package/2006/relationships"><Relationship Id="rId3" Type="http://schemas.openxmlformats.org/officeDocument/2006/relationships/printerSettings" Target="../printerSettings/printerSettings1428.bin"/><Relationship Id="rId2" Type="http://schemas.openxmlformats.org/officeDocument/2006/relationships/printerSettings" Target="../printerSettings/printerSettings1427.bin"/><Relationship Id="rId1" Type="http://schemas.openxmlformats.org/officeDocument/2006/relationships/printerSettings" Target="../printerSettings/printerSettings1426.bin"/><Relationship Id="rId5" Type="http://schemas.openxmlformats.org/officeDocument/2006/relationships/printerSettings" Target="../printerSettings/printerSettings1430.bin"/><Relationship Id="rId4" Type="http://schemas.openxmlformats.org/officeDocument/2006/relationships/printerSettings" Target="../printerSettings/printerSettings1429.bin"/></Relationships>
</file>

<file path=xl/worksheets/_rels/sheet287.xml.rels><?xml version="1.0" encoding="UTF-8" standalone="yes"?>
<Relationships xmlns="http://schemas.openxmlformats.org/package/2006/relationships"><Relationship Id="rId3" Type="http://schemas.openxmlformats.org/officeDocument/2006/relationships/printerSettings" Target="../printerSettings/printerSettings1433.bin"/><Relationship Id="rId2" Type="http://schemas.openxmlformats.org/officeDocument/2006/relationships/printerSettings" Target="../printerSettings/printerSettings1432.bin"/><Relationship Id="rId1" Type="http://schemas.openxmlformats.org/officeDocument/2006/relationships/printerSettings" Target="../printerSettings/printerSettings1431.bin"/><Relationship Id="rId5" Type="http://schemas.openxmlformats.org/officeDocument/2006/relationships/printerSettings" Target="../printerSettings/printerSettings1435.bin"/><Relationship Id="rId4" Type="http://schemas.openxmlformats.org/officeDocument/2006/relationships/printerSettings" Target="../printerSettings/printerSettings1434.bin"/></Relationships>
</file>

<file path=xl/worksheets/_rels/sheet288.xml.rels><?xml version="1.0" encoding="UTF-8" standalone="yes"?>
<Relationships xmlns="http://schemas.openxmlformats.org/package/2006/relationships"><Relationship Id="rId3" Type="http://schemas.openxmlformats.org/officeDocument/2006/relationships/printerSettings" Target="../printerSettings/printerSettings1438.bin"/><Relationship Id="rId2" Type="http://schemas.openxmlformats.org/officeDocument/2006/relationships/printerSettings" Target="../printerSettings/printerSettings1437.bin"/><Relationship Id="rId1" Type="http://schemas.openxmlformats.org/officeDocument/2006/relationships/printerSettings" Target="../printerSettings/printerSettings1436.bin"/><Relationship Id="rId5" Type="http://schemas.openxmlformats.org/officeDocument/2006/relationships/printerSettings" Target="../printerSettings/printerSettings1440.bin"/><Relationship Id="rId4" Type="http://schemas.openxmlformats.org/officeDocument/2006/relationships/printerSettings" Target="../printerSettings/printerSettings1439.bin"/></Relationships>
</file>

<file path=xl/worksheets/_rels/sheet289.xml.rels><?xml version="1.0" encoding="UTF-8" standalone="yes"?>
<Relationships xmlns="http://schemas.openxmlformats.org/package/2006/relationships"><Relationship Id="rId3" Type="http://schemas.openxmlformats.org/officeDocument/2006/relationships/printerSettings" Target="../printerSettings/printerSettings1443.bin"/><Relationship Id="rId2" Type="http://schemas.openxmlformats.org/officeDocument/2006/relationships/printerSettings" Target="../printerSettings/printerSettings1442.bin"/><Relationship Id="rId1" Type="http://schemas.openxmlformats.org/officeDocument/2006/relationships/printerSettings" Target="../printerSettings/printerSettings1441.bin"/><Relationship Id="rId5" Type="http://schemas.openxmlformats.org/officeDocument/2006/relationships/printerSettings" Target="../printerSettings/printerSettings1445.bin"/><Relationship Id="rId4" Type="http://schemas.openxmlformats.org/officeDocument/2006/relationships/printerSettings" Target="../printerSettings/printerSettings1444.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43.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90.xml.rels><?xml version="1.0" encoding="UTF-8" standalone="yes"?>
<Relationships xmlns="http://schemas.openxmlformats.org/package/2006/relationships"><Relationship Id="rId3" Type="http://schemas.openxmlformats.org/officeDocument/2006/relationships/printerSettings" Target="../printerSettings/printerSettings1448.bin"/><Relationship Id="rId2" Type="http://schemas.openxmlformats.org/officeDocument/2006/relationships/printerSettings" Target="../printerSettings/printerSettings1447.bin"/><Relationship Id="rId1" Type="http://schemas.openxmlformats.org/officeDocument/2006/relationships/printerSettings" Target="../printerSettings/printerSettings1446.bin"/><Relationship Id="rId5" Type="http://schemas.openxmlformats.org/officeDocument/2006/relationships/printerSettings" Target="../printerSettings/printerSettings1450.bin"/><Relationship Id="rId4" Type="http://schemas.openxmlformats.org/officeDocument/2006/relationships/printerSettings" Target="../printerSettings/printerSettings1449.bin"/></Relationships>
</file>

<file path=xl/worksheets/_rels/sheet291.xml.rels><?xml version="1.0" encoding="UTF-8" standalone="yes"?>
<Relationships xmlns="http://schemas.openxmlformats.org/package/2006/relationships"><Relationship Id="rId3" Type="http://schemas.openxmlformats.org/officeDocument/2006/relationships/printerSettings" Target="../printerSettings/printerSettings1453.bin"/><Relationship Id="rId2" Type="http://schemas.openxmlformats.org/officeDocument/2006/relationships/printerSettings" Target="../printerSettings/printerSettings1452.bin"/><Relationship Id="rId1" Type="http://schemas.openxmlformats.org/officeDocument/2006/relationships/printerSettings" Target="../printerSettings/printerSettings1451.bin"/><Relationship Id="rId5" Type="http://schemas.openxmlformats.org/officeDocument/2006/relationships/printerSettings" Target="../printerSettings/printerSettings1455.bin"/><Relationship Id="rId4" Type="http://schemas.openxmlformats.org/officeDocument/2006/relationships/printerSettings" Target="../printerSettings/printerSettings1454.bin"/></Relationships>
</file>

<file path=xl/worksheets/_rels/sheet292.xml.rels><?xml version="1.0" encoding="UTF-8" standalone="yes"?>
<Relationships xmlns="http://schemas.openxmlformats.org/package/2006/relationships"><Relationship Id="rId3" Type="http://schemas.openxmlformats.org/officeDocument/2006/relationships/printerSettings" Target="../printerSettings/printerSettings1458.bin"/><Relationship Id="rId2" Type="http://schemas.openxmlformats.org/officeDocument/2006/relationships/printerSettings" Target="../printerSettings/printerSettings1457.bin"/><Relationship Id="rId1" Type="http://schemas.openxmlformats.org/officeDocument/2006/relationships/printerSettings" Target="../printerSettings/printerSettings1456.bin"/><Relationship Id="rId5" Type="http://schemas.openxmlformats.org/officeDocument/2006/relationships/printerSettings" Target="../printerSettings/printerSettings1460.bin"/><Relationship Id="rId4" Type="http://schemas.openxmlformats.org/officeDocument/2006/relationships/printerSettings" Target="../printerSettings/printerSettings1459.bin"/></Relationships>
</file>

<file path=xl/worksheets/_rels/sheet293.xml.rels><?xml version="1.0" encoding="UTF-8" standalone="yes"?>
<Relationships xmlns="http://schemas.openxmlformats.org/package/2006/relationships"><Relationship Id="rId3" Type="http://schemas.openxmlformats.org/officeDocument/2006/relationships/printerSettings" Target="../printerSettings/printerSettings1463.bin"/><Relationship Id="rId2" Type="http://schemas.openxmlformats.org/officeDocument/2006/relationships/printerSettings" Target="../printerSettings/printerSettings1462.bin"/><Relationship Id="rId1" Type="http://schemas.openxmlformats.org/officeDocument/2006/relationships/printerSettings" Target="../printerSettings/printerSettings1461.bin"/><Relationship Id="rId5" Type="http://schemas.openxmlformats.org/officeDocument/2006/relationships/printerSettings" Target="../printerSettings/printerSettings1465.bin"/><Relationship Id="rId4" Type="http://schemas.openxmlformats.org/officeDocument/2006/relationships/printerSettings" Target="../printerSettings/printerSettings1464.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xml"/><Relationship Id="rId3" Type="http://schemas.openxmlformats.org/officeDocument/2006/relationships/printerSettings" Target="../printerSettings/printerSettings13.bin"/><Relationship Id="rId7" Type="http://schemas.openxmlformats.org/officeDocument/2006/relationships/vmlDrawing" Target="../drawings/vmlDrawing1.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drawing" Target="../drawings/drawing1.x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 Id="rId5" Type="http://schemas.openxmlformats.org/officeDocument/2006/relationships/printerSettings" Target="../printerSettings/printerSettings150.bin"/><Relationship Id="rId4" Type="http://schemas.openxmlformats.org/officeDocument/2006/relationships/printerSettings" Target="../printerSettings/printerSettings14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 Id="rId5" Type="http://schemas.openxmlformats.org/officeDocument/2006/relationships/printerSettings" Target="../printerSettings/printerSettings155.bin"/><Relationship Id="rId4" Type="http://schemas.openxmlformats.org/officeDocument/2006/relationships/printerSettings" Target="../printerSettings/printerSettings15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58.bin"/><Relationship Id="rId2" Type="http://schemas.openxmlformats.org/officeDocument/2006/relationships/printerSettings" Target="../printerSettings/printerSettings157.bin"/><Relationship Id="rId1" Type="http://schemas.openxmlformats.org/officeDocument/2006/relationships/printerSettings" Target="../printerSettings/printerSettings156.bin"/><Relationship Id="rId5" Type="http://schemas.openxmlformats.org/officeDocument/2006/relationships/printerSettings" Target="../printerSettings/printerSettings160.bin"/><Relationship Id="rId4" Type="http://schemas.openxmlformats.org/officeDocument/2006/relationships/printerSettings" Target="../printerSettings/printerSettings159.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63.bin"/><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 Id="rId5" Type="http://schemas.openxmlformats.org/officeDocument/2006/relationships/printerSettings" Target="../printerSettings/printerSettings165.bin"/><Relationship Id="rId4" Type="http://schemas.openxmlformats.org/officeDocument/2006/relationships/printerSettings" Target="../printerSettings/printerSettings164.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 Id="rId5" Type="http://schemas.openxmlformats.org/officeDocument/2006/relationships/printerSettings" Target="../printerSettings/printerSettings170.bin"/><Relationship Id="rId4" Type="http://schemas.openxmlformats.org/officeDocument/2006/relationships/printerSettings" Target="../printerSettings/printerSettings16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73.bin"/><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 Id="rId5" Type="http://schemas.openxmlformats.org/officeDocument/2006/relationships/printerSettings" Target="../printerSettings/printerSettings175.bin"/><Relationship Id="rId4" Type="http://schemas.openxmlformats.org/officeDocument/2006/relationships/printerSettings" Target="../printerSettings/printerSettings174.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88.bin"/><Relationship Id="rId2" Type="http://schemas.openxmlformats.org/officeDocument/2006/relationships/printerSettings" Target="../printerSettings/printerSettings187.bin"/><Relationship Id="rId1" Type="http://schemas.openxmlformats.org/officeDocument/2006/relationships/printerSettings" Target="../printerSettings/printerSettings186.bin"/><Relationship Id="rId5" Type="http://schemas.openxmlformats.org/officeDocument/2006/relationships/printerSettings" Target="../printerSettings/printerSettings190.bin"/><Relationship Id="rId4" Type="http://schemas.openxmlformats.org/officeDocument/2006/relationships/printerSettings" Target="../printerSettings/printerSettings189.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93.bin"/><Relationship Id="rId2" Type="http://schemas.openxmlformats.org/officeDocument/2006/relationships/printerSettings" Target="../printerSettings/printerSettings192.bin"/><Relationship Id="rId1" Type="http://schemas.openxmlformats.org/officeDocument/2006/relationships/printerSettings" Target="../printerSettings/printerSettings191.bin"/><Relationship Id="rId5" Type="http://schemas.openxmlformats.org/officeDocument/2006/relationships/printerSettings" Target="../printerSettings/printerSettings195.bin"/><Relationship Id="rId4" Type="http://schemas.openxmlformats.org/officeDocument/2006/relationships/printerSettings" Target="../printerSettings/printerSettings19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 Id="rId5" Type="http://schemas.openxmlformats.org/officeDocument/2006/relationships/printerSettings" Target="../printerSettings/printerSettings200.bin"/><Relationship Id="rId4" Type="http://schemas.openxmlformats.org/officeDocument/2006/relationships/printerSettings" Target="../printerSettings/printerSettings19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03.bin"/><Relationship Id="rId2" Type="http://schemas.openxmlformats.org/officeDocument/2006/relationships/printerSettings" Target="../printerSettings/printerSettings202.bin"/><Relationship Id="rId1" Type="http://schemas.openxmlformats.org/officeDocument/2006/relationships/printerSettings" Target="../printerSettings/printerSettings201.bin"/><Relationship Id="rId5" Type="http://schemas.openxmlformats.org/officeDocument/2006/relationships/printerSettings" Target="../printerSettings/printerSettings205.bin"/><Relationship Id="rId4" Type="http://schemas.openxmlformats.org/officeDocument/2006/relationships/printerSettings" Target="../printerSettings/printerSettings20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08.bin"/><Relationship Id="rId2" Type="http://schemas.openxmlformats.org/officeDocument/2006/relationships/printerSettings" Target="../printerSettings/printerSettings207.bin"/><Relationship Id="rId1" Type="http://schemas.openxmlformats.org/officeDocument/2006/relationships/printerSettings" Target="../printerSettings/printerSettings206.bin"/><Relationship Id="rId5" Type="http://schemas.openxmlformats.org/officeDocument/2006/relationships/printerSettings" Target="../printerSettings/printerSettings210.bin"/><Relationship Id="rId4" Type="http://schemas.openxmlformats.org/officeDocument/2006/relationships/printerSettings" Target="../printerSettings/printerSettings209.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18.bin"/><Relationship Id="rId2" Type="http://schemas.openxmlformats.org/officeDocument/2006/relationships/printerSettings" Target="../printerSettings/printerSettings217.bin"/><Relationship Id="rId1" Type="http://schemas.openxmlformats.org/officeDocument/2006/relationships/printerSettings" Target="../printerSettings/printerSettings216.bin"/><Relationship Id="rId5" Type="http://schemas.openxmlformats.org/officeDocument/2006/relationships/printerSettings" Target="../printerSettings/printerSettings220.bin"/><Relationship Id="rId4" Type="http://schemas.openxmlformats.org/officeDocument/2006/relationships/printerSettings" Target="../printerSettings/printerSettings21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23.bin"/><Relationship Id="rId2" Type="http://schemas.openxmlformats.org/officeDocument/2006/relationships/printerSettings" Target="../printerSettings/printerSettings222.bin"/><Relationship Id="rId1" Type="http://schemas.openxmlformats.org/officeDocument/2006/relationships/printerSettings" Target="../printerSettings/printerSettings221.bin"/><Relationship Id="rId5" Type="http://schemas.openxmlformats.org/officeDocument/2006/relationships/printerSettings" Target="../printerSettings/printerSettings225.bin"/><Relationship Id="rId4" Type="http://schemas.openxmlformats.org/officeDocument/2006/relationships/printerSettings" Target="../printerSettings/printerSettings224.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33.bin"/><Relationship Id="rId2" Type="http://schemas.openxmlformats.org/officeDocument/2006/relationships/printerSettings" Target="../printerSettings/printerSettings232.bin"/><Relationship Id="rId1" Type="http://schemas.openxmlformats.org/officeDocument/2006/relationships/printerSettings" Target="../printerSettings/printerSettings231.bin"/><Relationship Id="rId5" Type="http://schemas.openxmlformats.org/officeDocument/2006/relationships/printerSettings" Target="../printerSettings/printerSettings235.bin"/><Relationship Id="rId4" Type="http://schemas.openxmlformats.org/officeDocument/2006/relationships/printerSettings" Target="../printerSettings/printerSettings234.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38.bin"/><Relationship Id="rId2" Type="http://schemas.openxmlformats.org/officeDocument/2006/relationships/printerSettings" Target="../printerSettings/printerSettings237.bin"/><Relationship Id="rId1" Type="http://schemas.openxmlformats.org/officeDocument/2006/relationships/printerSettings" Target="../printerSettings/printerSettings236.bin"/><Relationship Id="rId5" Type="http://schemas.openxmlformats.org/officeDocument/2006/relationships/printerSettings" Target="../printerSettings/printerSettings240.bin"/><Relationship Id="rId4" Type="http://schemas.openxmlformats.org/officeDocument/2006/relationships/printerSettings" Target="../printerSettings/printerSettings239.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48.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53.bin"/><Relationship Id="rId2" Type="http://schemas.openxmlformats.org/officeDocument/2006/relationships/printerSettings" Target="../printerSettings/printerSettings252.bin"/><Relationship Id="rId1" Type="http://schemas.openxmlformats.org/officeDocument/2006/relationships/printerSettings" Target="../printerSettings/printerSettings251.bin"/><Relationship Id="rId5" Type="http://schemas.openxmlformats.org/officeDocument/2006/relationships/printerSettings" Target="../printerSettings/printerSettings255.bin"/><Relationship Id="rId4" Type="http://schemas.openxmlformats.org/officeDocument/2006/relationships/printerSettings" Target="../printerSettings/printerSettings2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 Id="rId5" Type="http://schemas.openxmlformats.org/officeDocument/2006/relationships/printerSettings" Target="../printerSettings/printerSettings260.bin"/><Relationship Id="rId4" Type="http://schemas.openxmlformats.org/officeDocument/2006/relationships/printerSettings" Target="../printerSettings/printerSettings259.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263.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68.bin"/><Relationship Id="rId2" Type="http://schemas.openxmlformats.org/officeDocument/2006/relationships/printerSettings" Target="../printerSettings/printerSettings267.bin"/><Relationship Id="rId1" Type="http://schemas.openxmlformats.org/officeDocument/2006/relationships/printerSettings" Target="../printerSettings/printerSettings266.bin"/><Relationship Id="rId5" Type="http://schemas.openxmlformats.org/officeDocument/2006/relationships/printerSettings" Target="../printerSettings/printerSettings270.bin"/><Relationship Id="rId4" Type="http://schemas.openxmlformats.org/officeDocument/2006/relationships/printerSettings" Target="../printerSettings/printerSettings2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 Id="rId5" Type="http://schemas.openxmlformats.org/officeDocument/2006/relationships/printerSettings" Target="../printerSettings/printerSettings275.bin"/><Relationship Id="rId4" Type="http://schemas.openxmlformats.org/officeDocument/2006/relationships/printerSettings" Target="../printerSettings/printerSettings274.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278.bin"/><Relationship Id="rId2" Type="http://schemas.openxmlformats.org/officeDocument/2006/relationships/printerSettings" Target="../printerSettings/printerSettings277.bin"/><Relationship Id="rId1" Type="http://schemas.openxmlformats.org/officeDocument/2006/relationships/printerSettings" Target="../printerSettings/printerSettings276.bin"/><Relationship Id="rId5" Type="http://schemas.openxmlformats.org/officeDocument/2006/relationships/printerSettings" Target="../printerSettings/printerSettings280.bin"/><Relationship Id="rId4" Type="http://schemas.openxmlformats.org/officeDocument/2006/relationships/printerSettings" Target="../printerSettings/printerSettings27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283.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 Id="rId5" Type="http://schemas.openxmlformats.org/officeDocument/2006/relationships/printerSettings" Target="../printerSettings/printerSettings290.bin"/><Relationship Id="rId4" Type="http://schemas.openxmlformats.org/officeDocument/2006/relationships/printerSettings" Target="../printerSettings/printerSettings289.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293.bin"/><Relationship Id="rId2" Type="http://schemas.openxmlformats.org/officeDocument/2006/relationships/printerSettings" Target="../printerSettings/printerSettings292.bin"/><Relationship Id="rId1" Type="http://schemas.openxmlformats.org/officeDocument/2006/relationships/printerSettings" Target="../printerSettings/printerSettings291.bin"/><Relationship Id="rId5" Type="http://schemas.openxmlformats.org/officeDocument/2006/relationships/printerSettings" Target="../printerSettings/printerSettings295.bin"/><Relationship Id="rId4" Type="http://schemas.openxmlformats.org/officeDocument/2006/relationships/printerSettings" Target="../printerSettings/printerSettings29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298.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 Id="rId5" Type="http://schemas.openxmlformats.org/officeDocument/2006/relationships/printerSettings" Target="../printerSettings/printerSettings305.bin"/><Relationship Id="rId4" Type="http://schemas.openxmlformats.org/officeDocument/2006/relationships/printerSettings" Target="../printerSettings/printerSettings30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308.bin"/><Relationship Id="rId2" Type="http://schemas.openxmlformats.org/officeDocument/2006/relationships/printerSettings" Target="../printerSettings/printerSettings307.bin"/><Relationship Id="rId1" Type="http://schemas.openxmlformats.org/officeDocument/2006/relationships/printerSettings" Target="../printerSettings/printerSettings306.bin"/><Relationship Id="rId5" Type="http://schemas.openxmlformats.org/officeDocument/2006/relationships/printerSettings" Target="../printerSettings/printerSettings310.bin"/><Relationship Id="rId4" Type="http://schemas.openxmlformats.org/officeDocument/2006/relationships/printerSettings" Target="../printerSettings/printerSettings309.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313.bin"/><Relationship Id="rId2" Type="http://schemas.openxmlformats.org/officeDocument/2006/relationships/printerSettings" Target="../printerSettings/printerSettings312.bin"/><Relationship Id="rId1" Type="http://schemas.openxmlformats.org/officeDocument/2006/relationships/printerSettings" Target="../printerSettings/printerSettings311.bin"/><Relationship Id="rId5" Type="http://schemas.openxmlformats.org/officeDocument/2006/relationships/printerSettings" Target="../printerSettings/printerSettings315.bin"/><Relationship Id="rId4" Type="http://schemas.openxmlformats.org/officeDocument/2006/relationships/printerSettings" Target="../printerSettings/printerSettings314.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318.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323.bin"/><Relationship Id="rId2" Type="http://schemas.openxmlformats.org/officeDocument/2006/relationships/printerSettings" Target="../printerSettings/printerSettings322.bin"/><Relationship Id="rId1" Type="http://schemas.openxmlformats.org/officeDocument/2006/relationships/printerSettings" Target="../printerSettings/printerSettings321.bin"/><Relationship Id="rId5" Type="http://schemas.openxmlformats.org/officeDocument/2006/relationships/printerSettings" Target="../printerSettings/printerSettings325.bin"/><Relationship Id="rId4" Type="http://schemas.openxmlformats.org/officeDocument/2006/relationships/printerSettings" Target="../printerSettings/printerSettings324.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328.bin"/><Relationship Id="rId2" Type="http://schemas.openxmlformats.org/officeDocument/2006/relationships/printerSettings" Target="../printerSettings/printerSettings327.bin"/><Relationship Id="rId1" Type="http://schemas.openxmlformats.org/officeDocument/2006/relationships/printerSettings" Target="../printerSettings/printerSettings326.bin"/><Relationship Id="rId5" Type="http://schemas.openxmlformats.org/officeDocument/2006/relationships/printerSettings" Target="../printerSettings/printerSettings330.bin"/><Relationship Id="rId4" Type="http://schemas.openxmlformats.org/officeDocument/2006/relationships/printerSettings" Target="../printerSettings/printerSettings329.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333.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338.bin"/><Relationship Id="rId2" Type="http://schemas.openxmlformats.org/officeDocument/2006/relationships/printerSettings" Target="../printerSettings/printerSettings337.bin"/><Relationship Id="rId1" Type="http://schemas.openxmlformats.org/officeDocument/2006/relationships/printerSettings" Target="../printerSettings/printerSettings336.bin"/><Relationship Id="rId5" Type="http://schemas.openxmlformats.org/officeDocument/2006/relationships/printerSettings" Target="../printerSettings/printerSettings340.bin"/><Relationship Id="rId4" Type="http://schemas.openxmlformats.org/officeDocument/2006/relationships/printerSettings" Target="../printerSettings/printerSettings339.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343.bin"/><Relationship Id="rId2" Type="http://schemas.openxmlformats.org/officeDocument/2006/relationships/printerSettings" Target="../printerSettings/printerSettings342.bin"/><Relationship Id="rId1" Type="http://schemas.openxmlformats.org/officeDocument/2006/relationships/printerSettings" Target="../printerSettings/printerSettings341.bin"/><Relationship Id="rId5" Type="http://schemas.openxmlformats.org/officeDocument/2006/relationships/printerSettings" Target="../printerSettings/printerSettings345.bin"/><Relationship Id="rId4" Type="http://schemas.openxmlformats.org/officeDocument/2006/relationships/printerSettings" Target="../printerSettings/printerSettings34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348.bin"/><Relationship Id="rId2" Type="http://schemas.openxmlformats.org/officeDocument/2006/relationships/printerSettings" Target="../printerSettings/printerSettings347.bin"/><Relationship Id="rId1" Type="http://schemas.openxmlformats.org/officeDocument/2006/relationships/printerSettings" Target="../printerSettings/printerSettings346.bin"/><Relationship Id="rId5" Type="http://schemas.openxmlformats.org/officeDocument/2006/relationships/printerSettings" Target="../printerSettings/printerSettings350.bin"/><Relationship Id="rId4" Type="http://schemas.openxmlformats.org/officeDocument/2006/relationships/printerSettings" Target="../printerSettings/printerSettings349.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353.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358.bin"/><Relationship Id="rId2" Type="http://schemas.openxmlformats.org/officeDocument/2006/relationships/printerSettings" Target="../printerSettings/printerSettings357.bin"/><Relationship Id="rId1" Type="http://schemas.openxmlformats.org/officeDocument/2006/relationships/printerSettings" Target="../printerSettings/printerSettings356.bin"/><Relationship Id="rId5" Type="http://schemas.openxmlformats.org/officeDocument/2006/relationships/printerSettings" Target="../printerSettings/printerSettings360.bin"/><Relationship Id="rId4" Type="http://schemas.openxmlformats.org/officeDocument/2006/relationships/printerSettings" Target="../printerSettings/printerSettings359.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363.bin"/><Relationship Id="rId2" Type="http://schemas.openxmlformats.org/officeDocument/2006/relationships/printerSettings" Target="../printerSettings/printerSettings362.bin"/><Relationship Id="rId1" Type="http://schemas.openxmlformats.org/officeDocument/2006/relationships/printerSettings" Target="../printerSettings/printerSettings361.bin"/><Relationship Id="rId5" Type="http://schemas.openxmlformats.org/officeDocument/2006/relationships/printerSettings" Target="../printerSettings/printerSettings365.bin"/><Relationship Id="rId4" Type="http://schemas.openxmlformats.org/officeDocument/2006/relationships/printerSettings" Target="../printerSettings/printerSettings364.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368.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373.bin"/><Relationship Id="rId2" Type="http://schemas.openxmlformats.org/officeDocument/2006/relationships/printerSettings" Target="../printerSettings/printerSettings372.bin"/><Relationship Id="rId1" Type="http://schemas.openxmlformats.org/officeDocument/2006/relationships/printerSettings" Target="../printerSettings/printerSettings371.bin"/><Relationship Id="rId5" Type="http://schemas.openxmlformats.org/officeDocument/2006/relationships/printerSettings" Target="../printerSettings/printerSettings375.bin"/><Relationship Id="rId4" Type="http://schemas.openxmlformats.org/officeDocument/2006/relationships/printerSettings" Target="../printerSettings/printerSettings374.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378.bin"/><Relationship Id="rId2" Type="http://schemas.openxmlformats.org/officeDocument/2006/relationships/printerSettings" Target="../printerSettings/printerSettings377.bin"/><Relationship Id="rId1" Type="http://schemas.openxmlformats.org/officeDocument/2006/relationships/printerSettings" Target="../printerSettings/printerSettings376.bin"/><Relationship Id="rId5" Type="http://schemas.openxmlformats.org/officeDocument/2006/relationships/printerSettings" Target="../printerSettings/printerSettings380.bin"/><Relationship Id="rId4" Type="http://schemas.openxmlformats.org/officeDocument/2006/relationships/printerSettings" Target="../printerSettings/printerSettings379.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383.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388.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393.bin"/><Relationship Id="rId2" Type="http://schemas.openxmlformats.org/officeDocument/2006/relationships/printerSettings" Target="../printerSettings/printerSettings392.bin"/><Relationship Id="rId1" Type="http://schemas.openxmlformats.org/officeDocument/2006/relationships/printerSettings" Target="../printerSettings/printerSettings391.bin"/><Relationship Id="rId5" Type="http://schemas.openxmlformats.org/officeDocument/2006/relationships/printerSettings" Target="../printerSettings/printerSettings395.bin"/><Relationship Id="rId4" Type="http://schemas.openxmlformats.org/officeDocument/2006/relationships/printerSettings" Target="../printerSettings/printerSettings39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398.bin"/><Relationship Id="rId2" Type="http://schemas.openxmlformats.org/officeDocument/2006/relationships/printerSettings" Target="../printerSettings/printerSettings397.bin"/><Relationship Id="rId1" Type="http://schemas.openxmlformats.org/officeDocument/2006/relationships/printerSettings" Target="../printerSettings/printerSettings396.bin"/><Relationship Id="rId5" Type="http://schemas.openxmlformats.org/officeDocument/2006/relationships/printerSettings" Target="../printerSettings/printerSettings400.bin"/><Relationship Id="rId4" Type="http://schemas.openxmlformats.org/officeDocument/2006/relationships/printerSettings" Target="../printerSettings/printerSettings399.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403.bin"/><Relationship Id="rId2" Type="http://schemas.openxmlformats.org/officeDocument/2006/relationships/printerSettings" Target="../printerSettings/printerSettings402.bin"/><Relationship Id="rId1" Type="http://schemas.openxmlformats.org/officeDocument/2006/relationships/printerSettings" Target="../printerSettings/printerSettings401.bin"/><Relationship Id="rId5" Type="http://schemas.openxmlformats.org/officeDocument/2006/relationships/printerSettings" Target="../printerSettings/printerSettings405.bin"/><Relationship Id="rId4" Type="http://schemas.openxmlformats.org/officeDocument/2006/relationships/printerSettings" Target="../printerSettings/printerSettings404.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408.bin"/><Relationship Id="rId2" Type="http://schemas.openxmlformats.org/officeDocument/2006/relationships/printerSettings" Target="../printerSettings/printerSettings407.bin"/><Relationship Id="rId1" Type="http://schemas.openxmlformats.org/officeDocument/2006/relationships/printerSettings" Target="../printerSettings/printerSettings406.bin"/><Relationship Id="rId5" Type="http://schemas.openxmlformats.org/officeDocument/2006/relationships/printerSettings" Target="../printerSettings/printerSettings410.bin"/><Relationship Id="rId4" Type="http://schemas.openxmlformats.org/officeDocument/2006/relationships/printerSettings" Target="../printerSettings/printerSettings409.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413.bin"/><Relationship Id="rId2" Type="http://schemas.openxmlformats.org/officeDocument/2006/relationships/printerSettings" Target="../printerSettings/printerSettings412.bin"/><Relationship Id="rId1" Type="http://schemas.openxmlformats.org/officeDocument/2006/relationships/printerSettings" Target="../printerSettings/printerSettings411.bin"/><Relationship Id="rId5" Type="http://schemas.openxmlformats.org/officeDocument/2006/relationships/printerSettings" Target="../printerSettings/printerSettings415.bin"/><Relationship Id="rId4" Type="http://schemas.openxmlformats.org/officeDocument/2006/relationships/printerSettings" Target="../printerSettings/printerSettings414.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418.bin"/><Relationship Id="rId2" Type="http://schemas.openxmlformats.org/officeDocument/2006/relationships/printerSettings" Target="../printerSettings/printerSettings417.bin"/><Relationship Id="rId1" Type="http://schemas.openxmlformats.org/officeDocument/2006/relationships/printerSettings" Target="../printerSettings/printerSettings416.bin"/><Relationship Id="rId5" Type="http://schemas.openxmlformats.org/officeDocument/2006/relationships/printerSettings" Target="../printerSettings/printerSettings420.bin"/><Relationship Id="rId4" Type="http://schemas.openxmlformats.org/officeDocument/2006/relationships/printerSettings" Target="../printerSettings/printerSettings419.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423.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428.bin"/><Relationship Id="rId2" Type="http://schemas.openxmlformats.org/officeDocument/2006/relationships/printerSettings" Target="../printerSettings/printerSettings427.bin"/><Relationship Id="rId1" Type="http://schemas.openxmlformats.org/officeDocument/2006/relationships/printerSettings" Target="../printerSettings/printerSettings426.bin"/><Relationship Id="rId5" Type="http://schemas.openxmlformats.org/officeDocument/2006/relationships/printerSettings" Target="../printerSettings/printerSettings430.bin"/><Relationship Id="rId4" Type="http://schemas.openxmlformats.org/officeDocument/2006/relationships/printerSettings" Target="../printerSettings/printerSettings429.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433.bin"/><Relationship Id="rId2" Type="http://schemas.openxmlformats.org/officeDocument/2006/relationships/printerSettings" Target="../printerSettings/printerSettings432.bin"/><Relationship Id="rId1" Type="http://schemas.openxmlformats.org/officeDocument/2006/relationships/printerSettings" Target="../printerSettings/printerSettings431.bin"/><Relationship Id="rId5" Type="http://schemas.openxmlformats.org/officeDocument/2006/relationships/printerSettings" Target="../printerSettings/printerSettings435.bin"/><Relationship Id="rId4" Type="http://schemas.openxmlformats.org/officeDocument/2006/relationships/printerSettings" Target="../printerSettings/printerSettings434.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438.bin"/><Relationship Id="rId2" Type="http://schemas.openxmlformats.org/officeDocument/2006/relationships/printerSettings" Target="../printerSettings/printerSettings437.bin"/><Relationship Id="rId1" Type="http://schemas.openxmlformats.org/officeDocument/2006/relationships/printerSettings" Target="../printerSettings/printerSettings436.bin"/><Relationship Id="rId5" Type="http://schemas.openxmlformats.org/officeDocument/2006/relationships/printerSettings" Target="../printerSettings/printerSettings440.bin"/><Relationship Id="rId4" Type="http://schemas.openxmlformats.org/officeDocument/2006/relationships/printerSettings" Target="../printerSettings/printerSettings439.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443.bin"/><Relationship Id="rId2" Type="http://schemas.openxmlformats.org/officeDocument/2006/relationships/printerSettings" Target="../printerSettings/printerSettings442.bin"/><Relationship Id="rId1" Type="http://schemas.openxmlformats.org/officeDocument/2006/relationships/printerSettings" Target="../printerSettings/printerSettings441.bin"/><Relationship Id="rId5" Type="http://schemas.openxmlformats.org/officeDocument/2006/relationships/printerSettings" Target="../printerSettings/printerSettings445.bin"/><Relationship Id="rId4" Type="http://schemas.openxmlformats.org/officeDocument/2006/relationships/printerSettings" Target="../printerSettings/printerSettings44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448.bin"/><Relationship Id="rId2" Type="http://schemas.openxmlformats.org/officeDocument/2006/relationships/printerSettings" Target="../printerSettings/printerSettings447.bin"/><Relationship Id="rId1" Type="http://schemas.openxmlformats.org/officeDocument/2006/relationships/printerSettings" Target="../printerSettings/printerSettings446.bin"/><Relationship Id="rId5" Type="http://schemas.openxmlformats.org/officeDocument/2006/relationships/printerSettings" Target="../printerSettings/printerSettings450.bin"/><Relationship Id="rId4" Type="http://schemas.openxmlformats.org/officeDocument/2006/relationships/printerSettings" Target="../printerSettings/printerSettings449.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453.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458.bin"/><Relationship Id="rId2" Type="http://schemas.openxmlformats.org/officeDocument/2006/relationships/printerSettings" Target="../printerSettings/printerSettings457.bin"/><Relationship Id="rId1" Type="http://schemas.openxmlformats.org/officeDocument/2006/relationships/printerSettings" Target="../printerSettings/printerSettings456.bin"/><Relationship Id="rId5" Type="http://schemas.openxmlformats.org/officeDocument/2006/relationships/printerSettings" Target="../printerSettings/printerSettings460.bin"/><Relationship Id="rId4" Type="http://schemas.openxmlformats.org/officeDocument/2006/relationships/printerSettings" Target="../printerSettings/printerSettings459.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463.bin"/><Relationship Id="rId2" Type="http://schemas.openxmlformats.org/officeDocument/2006/relationships/printerSettings" Target="../printerSettings/printerSettings462.bin"/><Relationship Id="rId1" Type="http://schemas.openxmlformats.org/officeDocument/2006/relationships/printerSettings" Target="../printerSettings/printerSettings461.bin"/><Relationship Id="rId5" Type="http://schemas.openxmlformats.org/officeDocument/2006/relationships/printerSettings" Target="../printerSettings/printerSettings465.bin"/><Relationship Id="rId4" Type="http://schemas.openxmlformats.org/officeDocument/2006/relationships/printerSettings" Target="../printerSettings/printerSettings464.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468.bin"/><Relationship Id="rId2" Type="http://schemas.openxmlformats.org/officeDocument/2006/relationships/printerSettings" Target="../printerSettings/printerSettings467.bin"/><Relationship Id="rId1" Type="http://schemas.openxmlformats.org/officeDocument/2006/relationships/printerSettings" Target="../printerSettings/printerSettings466.bin"/><Relationship Id="rId5" Type="http://schemas.openxmlformats.org/officeDocument/2006/relationships/printerSettings" Target="../printerSettings/printerSettings470.bin"/><Relationship Id="rId4" Type="http://schemas.openxmlformats.org/officeDocument/2006/relationships/printerSettings" Target="../printerSettings/printerSettings469.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473.bin"/><Relationship Id="rId2" Type="http://schemas.openxmlformats.org/officeDocument/2006/relationships/printerSettings" Target="../printerSettings/printerSettings472.bin"/><Relationship Id="rId1" Type="http://schemas.openxmlformats.org/officeDocument/2006/relationships/printerSettings" Target="../printerSettings/printerSettings471.bin"/><Relationship Id="rId5" Type="http://schemas.openxmlformats.org/officeDocument/2006/relationships/printerSettings" Target="../printerSettings/printerSettings475.bin"/><Relationship Id="rId4" Type="http://schemas.openxmlformats.org/officeDocument/2006/relationships/printerSettings" Target="../printerSettings/printerSettings474.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478.bin"/><Relationship Id="rId2" Type="http://schemas.openxmlformats.org/officeDocument/2006/relationships/printerSettings" Target="../printerSettings/printerSettings477.bin"/><Relationship Id="rId1" Type="http://schemas.openxmlformats.org/officeDocument/2006/relationships/printerSettings" Target="../printerSettings/printerSettings476.bin"/><Relationship Id="rId5" Type="http://schemas.openxmlformats.org/officeDocument/2006/relationships/printerSettings" Target="../printerSettings/printerSettings480.bin"/><Relationship Id="rId4" Type="http://schemas.openxmlformats.org/officeDocument/2006/relationships/printerSettings" Target="../printerSettings/printerSettings479.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483.bin"/><Relationship Id="rId2" Type="http://schemas.openxmlformats.org/officeDocument/2006/relationships/printerSettings" Target="../printerSettings/printerSettings482.bin"/><Relationship Id="rId1" Type="http://schemas.openxmlformats.org/officeDocument/2006/relationships/printerSettings" Target="../printerSettings/printerSettings481.bin"/><Relationship Id="rId5" Type="http://schemas.openxmlformats.org/officeDocument/2006/relationships/printerSettings" Target="../printerSettings/printerSettings485.bin"/><Relationship Id="rId4" Type="http://schemas.openxmlformats.org/officeDocument/2006/relationships/printerSettings" Target="../printerSettings/printerSettings484.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488.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493.bin"/><Relationship Id="rId2" Type="http://schemas.openxmlformats.org/officeDocument/2006/relationships/printerSettings" Target="../printerSettings/printerSettings492.bin"/><Relationship Id="rId1" Type="http://schemas.openxmlformats.org/officeDocument/2006/relationships/printerSettings" Target="../printerSettings/printerSettings491.bin"/><Relationship Id="rId5" Type="http://schemas.openxmlformats.org/officeDocument/2006/relationships/printerSettings" Target="../printerSettings/printerSettings495.bin"/><Relationship Id="rId4" Type="http://schemas.openxmlformats.org/officeDocument/2006/relationships/printerSettings" Target="../printerSettings/printerSettings4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14"/>
  <sheetViews>
    <sheetView zoomScaleNormal="100" workbookViewId="0">
      <selection activeCell="B23" sqref="B23"/>
    </sheetView>
  </sheetViews>
  <sheetFormatPr defaultColWidth="9.109375" defaultRowHeight="14.4"/>
  <cols>
    <col min="1" max="1" width="4" style="929" bestFit="1" customWidth="1"/>
    <col min="2" max="2" width="97" style="929" customWidth="1"/>
    <col min="3" max="3" width="30.33203125" style="929" customWidth="1"/>
    <col min="4" max="16384" width="9.109375" style="929"/>
  </cols>
  <sheetData>
    <row r="1" spans="1:3" s="926" customFormat="1" ht="21">
      <c r="A1" s="936"/>
      <c r="B1" s="927" t="s">
        <v>3692</v>
      </c>
    </row>
    <row r="2" spans="1:3">
      <c r="A2" s="937"/>
      <c r="B2" s="928"/>
    </row>
    <row r="3" spans="1:3" s="933" customFormat="1" ht="34.5" customHeight="1">
      <c r="A3" s="930" t="s">
        <v>3693</v>
      </c>
      <c r="B3" s="931" t="s">
        <v>3790</v>
      </c>
      <c r="C3" s="932"/>
    </row>
    <row r="4" spans="1:3" ht="16.5" customHeight="1">
      <c r="A4" s="930" t="s">
        <v>3694</v>
      </c>
      <c r="B4" s="934" t="s">
        <v>3795</v>
      </c>
      <c r="C4" s="934"/>
    </row>
    <row r="5" spans="1:3" ht="16.8">
      <c r="A5" s="930" t="s">
        <v>3695</v>
      </c>
      <c r="B5" s="935" t="s">
        <v>3696</v>
      </c>
      <c r="C5" s="932"/>
    </row>
    <row r="6" spans="1:3" ht="16.8">
      <c r="A6" s="930" t="s">
        <v>3697</v>
      </c>
      <c r="B6" s="935" t="s">
        <v>3698</v>
      </c>
      <c r="C6" s="931"/>
    </row>
    <row r="7" spans="1:3" ht="16.8">
      <c r="A7" s="930" t="s">
        <v>3699</v>
      </c>
      <c r="B7" s="935" t="s">
        <v>3792</v>
      </c>
      <c r="C7" s="931"/>
    </row>
    <row r="8" spans="1:3" ht="67.2">
      <c r="A8" s="930" t="s">
        <v>3700</v>
      </c>
      <c r="B8" s="931" t="s">
        <v>3791</v>
      </c>
      <c r="C8" s="931"/>
    </row>
    <row r="9" spans="1:3" ht="16.8">
      <c r="A9" s="930" t="s">
        <v>3701</v>
      </c>
      <c r="B9" s="931" t="s">
        <v>3793</v>
      </c>
      <c r="C9" s="931"/>
    </row>
    <row r="10" spans="1:3" ht="33.6">
      <c r="A10" s="930" t="s">
        <v>3702</v>
      </c>
      <c r="B10" s="931" t="s">
        <v>3703</v>
      </c>
      <c r="C10" s="931"/>
    </row>
    <row r="11" spans="1:3" ht="16.8">
      <c r="A11" s="930" t="s">
        <v>3704</v>
      </c>
      <c r="B11" s="935" t="s">
        <v>3794</v>
      </c>
    </row>
    <row r="13" spans="1:3">
      <c r="B13" s="1490" t="s">
        <v>3798</v>
      </c>
    </row>
    <row r="14" spans="1:3">
      <c r="B14" s="1491" t="s">
        <v>3799</v>
      </c>
    </row>
  </sheetData>
  <sheetProtection algorithmName="SHA-512" hashValue="rZhW6RrwzqCsxZxE0I6CR8fc0SB+Ntzff92DLgmOnGvOB4n8mt5dB2SaqlrrZXgsyrtCnbELpK+94FRwJ+oG/A==" saltValue="mVaXbsYmLxoaR+FPQep9sA==" spinCount="100000" sheet="1" objects="1" scenarios="1"/>
  <customSheetViews>
    <customSheetView guid="{AC653BD0-46E3-42CB-9C76-32121A57B65A}" fitToPage="1">
      <selection activeCell="B23" sqref="B23"/>
      <pageMargins left="0.25" right="0.25" top="0.75" bottom="0.75" header="0.3" footer="0.3"/>
      <pageSetup paperSize="5" scale="24" fitToWidth="0" orientation="portrait" r:id="rId1"/>
    </customSheetView>
    <customSheetView guid="{B165479B-DC25-403C-9595-F1A88A4AA9A2}" showPageBreaks="1" fitToPage="1" printArea="1">
      <selection activeCell="B23" sqref="B23"/>
      <pageMargins left="0.25" right="0.25" top="0.75" bottom="0.75" header="0.3" footer="0.3"/>
      <pageSetup paperSize="5" scale="25" fitToWidth="0" orientation="portrait" r:id="rId2"/>
    </customSheetView>
    <customSheetView guid="{A64E4C9E-A3DA-4AAA-8607-F524450B9436}" showPageBreaks="1" fitToPage="1" printArea="1">
      <selection activeCell="B23" sqref="B23"/>
      <pageMargins left="0.25" right="0.25" top="0.75" bottom="0.75" header="0.3" footer="0.3"/>
      <pageSetup paperSize="5" scale="27" fitToWidth="0" orientation="portrait" r:id="rId3"/>
    </customSheetView>
    <customSheetView guid="{AB4FBD91-4533-473A-9702-569FF6402073}" fitToPage="1">
      <selection activeCell="B23" sqref="B23"/>
      <pageMargins left="0.25" right="0.25" top="0.75" bottom="0.75" header="0.3" footer="0.3"/>
      <pageSetup paperSize="5" scale="27" fitToWidth="0" orientation="portrait" r:id="rId4"/>
    </customSheetView>
  </customSheetViews>
  <hyperlinks>
    <hyperlink ref="B14" r:id="rId5" display="https://www.nj.gov/dca/divisions/dlgs/pdf/FAST AFS Quick User Guide.pdf" xr:uid="{00000000-0004-0000-0000-000000000000}"/>
  </hyperlinks>
  <pageMargins left="0.25" right="0.25" top="0.75" bottom="0.75" header="0.3" footer="0.3"/>
  <pageSetup paperSize="5" scale="18" fitToWidth="0"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B2:P51"/>
  <sheetViews>
    <sheetView topLeftCell="A43" zoomScaleNormal="100" zoomScaleSheetLayoutView="90" workbookViewId="0">
      <selection activeCell="B3" sqref="B3:O3"/>
    </sheetView>
  </sheetViews>
  <sheetFormatPr defaultRowHeight="13.2"/>
  <cols>
    <col min="1" max="1" width="4.6640625" customWidth="1"/>
    <col min="2" max="2" width="4.88671875" customWidth="1"/>
    <col min="3" max="4" width="4.6640625" customWidth="1"/>
    <col min="5" max="5" width="30.6640625" customWidth="1"/>
    <col min="6" max="6" width="15.6640625" customWidth="1"/>
    <col min="7" max="7" width="16.6640625" style="277" customWidth="1"/>
    <col min="8" max="8" width="16.6640625" customWidth="1"/>
    <col min="9" max="9" width="12.88671875" bestFit="1" customWidth="1"/>
  </cols>
  <sheetData>
    <row r="2" spans="2:16">
      <c r="B2" s="1555" t="s">
        <v>129</v>
      </c>
      <c r="C2" s="1555"/>
      <c r="D2" s="1555"/>
      <c r="E2" s="1555"/>
      <c r="F2" s="1555"/>
      <c r="G2" s="1555"/>
      <c r="H2" s="1555"/>
    </row>
    <row r="4" spans="2:16" ht="22.8">
      <c r="B4" s="1549" t="s">
        <v>543</v>
      </c>
      <c r="C4" s="1549"/>
      <c r="D4" s="1549"/>
      <c r="E4" s="1549"/>
      <c r="F4" s="1549"/>
      <c r="G4" s="1549"/>
      <c r="H4" s="1549"/>
    </row>
    <row r="5" spans="2:16" ht="22.8">
      <c r="B5" s="1549" t="s">
        <v>711</v>
      </c>
      <c r="C5" s="1549"/>
      <c r="D5" s="1549"/>
      <c r="E5" s="1549"/>
      <c r="F5" s="1549"/>
      <c r="G5" s="1549"/>
      <c r="H5" s="1549"/>
    </row>
    <row r="6" spans="2:16" ht="15.6">
      <c r="B6" s="1556" t="str">
        <f>'KEY INPUTS'!D44</f>
        <v>AS  AT  DECEMBER  31, 2019</v>
      </c>
      <c r="C6" s="1509"/>
      <c r="D6" s="1509"/>
      <c r="E6" s="1509"/>
      <c r="F6" s="1509"/>
      <c r="G6" s="1509"/>
      <c r="H6" s="1509"/>
    </row>
    <row r="8" spans="2:16" ht="15" customHeight="1" thickBot="1">
      <c r="B8" s="1557" t="s">
        <v>123</v>
      </c>
      <c r="C8" s="1557"/>
      <c r="D8" s="1557"/>
      <c r="E8" s="1557"/>
      <c r="F8" s="1557"/>
      <c r="G8" s="1557"/>
      <c r="H8" s="1557"/>
    </row>
    <row r="9" spans="2:16" ht="36" customHeight="1" thickTop="1" thickBot="1">
      <c r="B9" s="1553" t="s">
        <v>124</v>
      </c>
      <c r="C9" s="1553"/>
      <c r="D9" s="1553"/>
      <c r="E9" s="1553"/>
      <c r="F9" s="1554"/>
      <c r="G9" s="259" t="s">
        <v>125</v>
      </c>
      <c r="H9" s="3" t="s">
        <v>126</v>
      </c>
    </row>
    <row r="10" spans="2:16" ht="21" customHeight="1" thickTop="1">
      <c r="G10" s="361"/>
      <c r="H10" s="230"/>
    </row>
    <row r="11" spans="2:16" ht="21" customHeight="1">
      <c r="B11" s="5"/>
      <c r="C11" s="5" t="s">
        <v>459</v>
      </c>
      <c r="D11" s="5"/>
      <c r="E11" s="5"/>
      <c r="F11" s="5"/>
      <c r="G11" s="337">
        <f>+'9-Cash Reconciliation'!I6</f>
        <v>6373434.9899999984</v>
      </c>
      <c r="H11" s="717"/>
      <c r="I11" s="312"/>
    </row>
    <row r="12" spans="2:16" s="322" customFormat="1" ht="21" customHeight="1">
      <c r="B12" s="323"/>
      <c r="C12" s="326" t="s">
        <v>3473</v>
      </c>
      <c r="D12" s="323"/>
      <c r="E12" s="323"/>
      <c r="F12" s="323"/>
      <c r="G12" s="372"/>
      <c r="H12" s="589"/>
      <c r="I12" s="325"/>
    </row>
    <row r="13" spans="2:16" ht="21" customHeight="1">
      <c r="B13" s="5"/>
      <c r="C13" s="326" t="s">
        <v>3472</v>
      </c>
      <c r="D13" s="5"/>
      <c r="E13" s="5"/>
      <c r="F13" s="5"/>
      <c r="G13" s="337">
        <f>'23-SCVet Deductions'!J21</f>
        <v>4141.7900000000009</v>
      </c>
      <c r="H13" s="717">
        <f>'23-SCVet Deductions'!I22</f>
        <v>0</v>
      </c>
      <c r="I13" s="714"/>
      <c r="J13" s="277"/>
      <c r="K13" s="277"/>
      <c r="L13" s="277"/>
      <c r="M13" s="277"/>
      <c r="N13" s="277"/>
      <c r="O13" s="277"/>
      <c r="P13" s="277"/>
    </row>
    <row r="14" spans="2:16" ht="21" customHeight="1">
      <c r="B14" s="5"/>
      <c r="C14" s="566"/>
      <c r="D14" s="566"/>
      <c r="E14" s="566"/>
      <c r="F14" s="566"/>
      <c r="G14" s="372"/>
      <c r="H14" s="589"/>
    </row>
    <row r="15" spans="2:16" ht="21" customHeight="1">
      <c r="B15" s="323"/>
      <c r="C15" s="566"/>
      <c r="D15" s="566"/>
      <c r="E15" s="566"/>
      <c r="F15" s="566"/>
      <c r="G15" s="595"/>
      <c r="H15" s="595"/>
    </row>
    <row r="16" spans="2:16" ht="21" customHeight="1">
      <c r="B16" s="118" t="s">
        <v>3498</v>
      </c>
      <c r="G16" s="743"/>
      <c r="H16" s="744"/>
      <c r="I16" s="325"/>
    </row>
    <row r="17" spans="2:9" ht="21" customHeight="1" thickBot="1">
      <c r="B17" s="5"/>
      <c r="C17" s="5" t="s">
        <v>460</v>
      </c>
      <c r="D17" s="5"/>
      <c r="E17" s="5"/>
      <c r="F17" s="7"/>
      <c r="G17" s="337"/>
      <c r="H17" s="214"/>
      <c r="I17" s="325"/>
    </row>
    <row r="18" spans="2:9" ht="21" customHeight="1">
      <c r="B18" s="5"/>
      <c r="C18" s="5" t="s">
        <v>461</v>
      </c>
      <c r="D18" s="5"/>
      <c r="E18" s="5"/>
      <c r="F18" s="752">
        <f>+'26-Delinquent Taxes and Liens'!I29-'3-Trial Bal-Current Fund'!F19</f>
        <v>0</v>
      </c>
      <c r="G18" s="722"/>
      <c r="H18" s="717"/>
      <c r="I18" s="312"/>
    </row>
    <row r="19" spans="2:9" ht="21" customHeight="1" thickBot="1">
      <c r="B19" s="323"/>
      <c r="C19" s="323" t="s">
        <v>462</v>
      </c>
      <c r="D19" s="323"/>
      <c r="E19" s="323"/>
      <c r="F19" s="753">
        <f>+'22-2019 Levy'!N35</f>
        <v>272172.30999999493</v>
      </c>
      <c r="G19" s="723"/>
      <c r="H19" s="717"/>
      <c r="I19" s="312"/>
    </row>
    <row r="20" spans="2:9" ht="21" customHeight="1">
      <c r="B20" s="323"/>
      <c r="C20" s="323"/>
      <c r="D20" s="323" t="s">
        <v>463</v>
      </c>
      <c r="E20" s="323"/>
      <c r="F20" s="284"/>
      <c r="G20" s="337">
        <f>+F19+F18</f>
        <v>272172.30999999493</v>
      </c>
      <c r="H20" s="717"/>
      <c r="I20" s="312"/>
    </row>
    <row r="21" spans="2:9" ht="21" customHeight="1">
      <c r="B21" s="323"/>
      <c r="C21" s="323" t="s">
        <v>464</v>
      </c>
      <c r="D21" s="323"/>
      <c r="E21" s="323"/>
      <c r="F21" s="323"/>
      <c r="G21" s="337">
        <f>+'26-Delinquent Taxes and Liens'!I30</f>
        <v>0</v>
      </c>
      <c r="H21" s="717"/>
    </row>
    <row r="22" spans="2:9" ht="21" customHeight="1">
      <c r="B22" s="323"/>
      <c r="C22" s="323" t="s">
        <v>465</v>
      </c>
      <c r="D22" s="323"/>
      <c r="E22" s="323"/>
      <c r="F22" s="323"/>
      <c r="G22" s="337">
        <f>+'27-Foreclosed Property'!L20</f>
        <v>0</v>
      </c>
      <c r="H22" s="717"/>
    </row>
    <row r="23" spans="2:9" ht="21" customHeight="1">
      <c r="B23" s="323"/>
      <c r="C23" s="732" t="s">
        <v>3499</v>
      </c>
      <c r="D23" s="724"/>
      <c r="E23" s="724"/>
      <c r="F23" s="724"/>
      <c r="G23" s="730">
        <f>'27-Foreclosed Property'!L30</f>
        <v>0</v>
      </c>
      <c r="H23" s="214"/>
      <c r="I23" s="273"/>
    </row>
    <row r="24" spans="2:9" ht="21" customHeight="1">
      <c r="B24" s="323"/>
      <c r="C24" s="732" t="s">
        <v>3500</v>
      </c>
      <c r="D24" s="724"/>
      <c r="E24" s="724"/>
      <c r="F24" s="724"/>
      <c r="G24" s="730">
        <f>'27-Foreclosed Property'!L40</f>
        <v>0</v>
      </c>
      <c r="H24" s="214"/>
      <c r="I24" s="325"/>
    </row>
    <row r="25" spans="2:9" ht="21" customHeight="1">
      <c r="B25" s="5"/>
      <c r="C25" s="567" t="s">
        <v>3941</v>
      </c>
      <c r="D25" s="765"/>
      <c r="E25" s="766"/>
      <c r="F25" s="566"/>
      <c r="G25" s="372">
        <v>413.4</v>
      </c>
      <c r="H25" s="589"/>
    </row>
    <row r="26" spans="2:9" ht="21" customHeight="1">
      <c r="B26" s="5"/>
      <c r="C26" s="567" t="s">
        <v>3942</v>
      </c>
      <c r="D26" s="766"/>
      <c r="E26" s="766"/>
      <c r="F26" s="566"/>
      <c r="G26" s="372">
        <v>4050.72</v>
      </c>
      <c r="H26" s="589"/>
    </row>
    <row r="27" spans="2:9" ht="21" customHeight="1">
      <c r="B27" s="5"/>
      <c r="C27" s="567" t="s">
        <v>3944</v>
      </c>
      <c r="D27" s="766"/>
      <c r="E27" s="766"/>
      <c r="F27" s="566"/>
      <c r="G27" s="372">
        <v>2311.77</v>
      </c>
      <c r="H27" s="589"/>
      <c r="I27" s="312"/>
    </row>
    <row r="28" spans="2:9" ht="21" customHeight="1">
      <c r="B28" s="5"/>
      <c r="C28" s="566"/>
      <c r="D28" s="766"/>
      <c r="E28" s="766"/>
      <c r="F28" s="566"/>
      <c r="G28" s="372"/>
      <c r="H28" s="589"/>
      <c r="I28" s="312"/>
    </row>
    <row r="29" spans="2:9" ht="21" customHeight="1">
      <c r="B29" s="5"/>
      <c r="C29" s="566"/>
      <c r="D29" s="766"/>
      <c r="E29" s="766"/>
      <c r="F29" s="566"/>
      <c r="G29" s="372"/>
      <c r="H29" s="589"/>
      <c r="I29" s="325"/>
    </row>
    <row r="30" spans="2:9" ht="21" customHeight="1">
      <c r="B30" s="323"/>
      <c r="C30" s="567"/>
      <c r="D30" s="766"/>
      <c r="E30" s="766"/>
      <c r="F30" s="566"/>
      <c r="G30" s="372"/>
      <c r="H30" s="589"/>
      <c r="I30" s="324"/>
    </row>
    <row r="31" spans="2:9" ht="21" customHeight="1">
      <c r="B31" s="323"/>
      <c r="C31" s="566"/>
      <c r="D31" s="766"/>
      <c r="E31" s="766"/>
      <c r="F31" s="566"/>
      <c r="G31" s="372"/>
      <c r="H31" s="589"/>
      <c r="I31" s="324"/>
    </row>
    <row r="32" spans="2:9" ht="21" customHeight="1">
      <c r="B32" s="323"/>
      <c r="C32" s="566"/>
      <c r="D32" s="766"/>
      <c r="E32" s="766"/>
      <c r="F32" s="566"/>
      <c r="G32" s="372"/>
      <c r="H32" s="589"/>
      <c r="I32" s="324"/>
    </row>
    <row r="33" spans="2:9" ht="21" customHeight="1">
      <c r="B33" s="326"/>
      <c r="C33" s="567"/>
      <c r="D33" s="766"/>
      <c r="E33" s="766"/>
      <c r="F33" s="566"/>
      <c r="G33" s="372"/>
      <c r="H33" s="589"/>
      <c r="I33" s="324"/>
    </row>
    <row r="34" spans="2:9" ht="21" customHeight="1">
      <c r="B34" s="323"/>
      <c r="C34" s="375"/>
      <c r="D34" s="766"/>
      <c r="E34" s="766"/>
      <c r="F34" s="566"/>
      <c r="G34" s="372"/>
      <c r="H34" s="589"/>
      <c r="I34" s="324"/>
    </row>
    <row r="35" spans="2:9" ht="21" customHeight="1">
      <c r="B35" s="323"/>
      <c r="C35" s="375"/>
      <c r="D35" s="766"/>
      <c r="E35" s="766"/>
      <c r="F35" s="566"/>
      <c r="G35" s="372"/>
      <c r="H35" s="589"/>
    </row>
    <row r="36" spans="2:9" s="322" customFormat="1" ht="21" customHeight="1">
      <c r="B36" s="323"/>
      <c r="C36" s="375"/>
      <c r="D36" s="815"/>
      <c r="E36" s="825"/>
      <c r="F36" s="566"/>
      <c r="G36" s="372"/>
      <c r="H36" s="589"/>
    </row>
    <row r="37" spans="2:9" ht="21" customHeight="1">
      <c r="B37" s="5"/>
      <c r="C37" s="323" t="s">
        <v>992</v>
      </c>
      <c r="D37" s="323"/>
      <c r="E37" s="323"/>
      <c r="F37" s="323"/>
      <c r="G37" s="373"/>
      <c r="H37" s="214"/>
    </row>
    <row r="38" spans="2:9" ht="21" customHeight="1">
      <c r="B38" s="5"/>
      <c r="C38" s="323"/>
      <c r="D38" s="349" t="s">
        <v>575</v>
      </c>
      <c r="E38" s="349"/>
      <c r="F38" s="323"/>
      <c r="G38" s="372"/>
      <c r="H38" s="718"/>
      <c r="I38" s="741"/>
    </row>
    <row r="39" spans="2:9" ht="21" customHeight="1">
      <c r="B39" s="5"/>
      <c r="C39" s="5"/>
      <c r="D39" s="349" t="s">
        <v>993</v>
      </c>
      <c r="E39" s="349"/>
      <c r="F39" s="5"/>
      <c r="G39" s="906">
        <f>+'29-Special Emergency'!L$21+'30-Special Emergency'!L21</f>
        <v>0</v>
      </c>
      <c r="H39" s="589"/>
      <c r="I39" s="741"/>
    </row>
    <row r="40" spans="2:9" ht="21" customHeight="1">
      <c r="B40" s="5"/>
      <c r="C40" s="5"/>
      <c r="D40" s="349" t="s">
        <v>1155</v>
      </c>
      <c r="E40" s="349"/>
      <c r="F40" s="5"/>
      <c r="G40" s="721">
        <f>'19-Results of Op-Cur Fnd'!I43</f>
        <v>0</v>
      </c>
      <c r="H40" s="589"/>
      <c r="I40" s="324"/>
    </row>
    <row r="41" spans="2:9" s="322" customFormat="1" ht="21" customHeight="1">
      <c r="B41" s="323"/>
      <c r="C41" s="375"/>
      <c r="D41" s="815"/>
      <c r="E41" s="825"/>
      <c r="F41" s="566"/>
      <c r="G41" s="372"/>
      <c r="H41" s="589"/>
    </row>
    <row r="42" spans="2:9" s="322" customFormat="1" ht="21" customHeight="1">
      <c r="B42" s="323"/>
      <c r="C42" s="567"/>
      <c r="D42" s="815"/>
      <c r="E42" s="825"/>
      <c r="F42" s="566"/>
      <c r="G42" s="372"/>
      <c r="H42" s="589"/>
    </row>
    <row r="43" spans="2:9" s="322" customFormat="1" ht="21" customHeight="1">
      <c r="B43" s="323"/>
      <c r="C43" s="567"/>
      <c r="D43" s="815"/>
      <c r="E43" s="825"/>
      <c r="F43" s="566"/>
      <c r="G43" s="372"/>
      <c r="H43" s="589"/>
    </row>
    <row r="44" spans="2:9" ht="21" customHeight="1">
      <c r="B44" s="5"/>
      <c r="C44" s="566"/>
      <c r="D44" s="815"/>
      <c r="E44" s="815"/>
      <c r="F44" s="566"/>
      <c r="G44" s="372"/>
      <c r="H44" s="589"/>
    </row>
    <row r="45" spans="2:9" ht="21" customHeight="1">
      <c r="B45" s="5"/>
      <c r="C45" s="375"/>
      <c r="D45" s="815"/>
      <c r="E45" s="815"/>
      <c r="F45" s="566"/>
      <c r="G45" s="372"/>
      <c r="H45" s="589"/>
    </row>
    <row r="46" spans="2:9" ht="21" customHeight="1">
      <c r="B46" s="5"/>
      <c r="C46" s="5"/>
      <c r="D46" s="5"/>
      <c r="E46" s="5" t="s">
        <v>994</v>
      </c>
      <c r="F46" s="5"/>
      <c r="G46" s="337">
        <f>SUM(G10:G45)</f>
        <v>6656524.979999993</v>
      </c>
      <c r="H46" s="214">
        <f>SUM(H10:H45)</f>
        <v>0</v>
      </c>
    </row>
    <row r="47" spans="2:9">
      <c r="B47" s="1511" t="s">
        <v>127</v>
      </c>
      <c r="C47" s="1511"/>
      <c r="D47" s="1511"/>
      <c r="E47" s="1511"/>
      <c r="F47" s="1511"/>
      <c r="G47" s="1511"/>
      <c r="H47" s="1511"/>
    </row>
    <row r="48" spans="2:9" ht="13.8">
      <c r="B48" s="1507" t="s">
        <v>128</v>
      </c>
      <c r="C48" s="1507"/>
      <c r="D48" s="1507"/>
      <c r="E48" s="1507"/>
      <c r="F48" s="1507"/>
      <c r="G48" s="1507"/>
      <c r="H48" s="1507"/>
    </row>
    <row r="51" spans="7:7">
      <c r="G51" s="327"/>
    </row>
  </sheetData>
  <sheetProtection password="CAF9" sheet="1" objects="1" scenarios="1"/>
  <customSheetViews>
    <customSheetView guid="{AC653BD0-46E3-42CB-9C76-32121A57B65A}" topLeftCell="A25">
      <selection activeCell="H32" sqref="H32"/>
      <pageMargins left="0.25" right="0.25" top="0.5" bottom="0.5" header="0.25" footer="0.25"/>
      <pageSetup paperSize="5" orientation="portrait" r:id="rId1"/>
      <headerFooter alignWithMargins="0"/>
    </customSheetView>
    <customSheetView guid="{B165479B-DC25-403C-9595-F1A88A4AA9A2}" topLeftCell="A22">
      <selection activeCell="C26" sqref="C26"/>
      <pageMargins left="0.25" right="0.25" top="0.5" bottom="0.5" header="0.25" footer="0.25"/>
      <pageSetup paperSize="5" orientation="portrait" r:id="rId2"/>
      <headerFooter alignWithMargins="0"/>
    </customSheetView>
    <customSheetView guid="{A64E4C9E-A3DA-4AAA-8607-F524450B9436}" topLeftCell="A31">
      <selection activeCell="G44" sqref="G44"/>
      <pageMargins left="0.25" right="0.25" top="0.5" bottom="0.5" header="0.25" footer="0.25"/>
      <pageSetup paperSize="5" orientation="portrait" r:id="rId3"/>
      <headerFooter alignWithMargins="0"/>
    </customSheetView>
    <customSheetView guid="{AB4FBD91-4533-473A-9702-569FF6402073}" topLeftCell="A16">
      <selection activeCell="C28" sqref="C28"/>
      <pageMargins left="0.25" right="0.25" top="0.5" bottom="0.5" header="0.25" footer="0.25"/>
      <pageSetup paperSize="5" orientation="portrait" r:id="rId4"/>
      <headerFooter alignWithMargins="0"/>
    </customSheetView>
  </customSheetViews>
  <mergeCells count="8">
    <mergeCell ref="B47:H47"/>
    <mergeCell ref="B48:H48"/>
    <mergeCell ref="B9:F9"/>
    <mergeCell ref="B2:H2"/>
    <mergeCell ref="B4:H4"/>
    <mergeCell ref="B5:H5"/>
    <mergeCell ref="B6:H6"/>
    <mergeCell ref="B8:H8"/>
  </mergeCells>
  <phoneticPr fontId="0" type="noConversion"/>
  <pageMargins left="0.25" right="0.25" top="0.5" bottom="0.5" header="0.25" footer="0.25"/>
  <pageSetup paperSize="5" scale="76" orientation="portrait" r:id="rId5"/>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+'11.38 Grants Approp Rsrv'!F27</f>
        <v>294944.29999999993</v>
      </c>
      <c r="G8" s="1029">
        <f>+'11.38 Grants Approp Rsrv'!G27</f>
        <v>216254.39</v>
      </c>
      <c r="H8" s="1029">
        <f>+'11.38 Grants Approp Rsrv'!H27</f>
        <v>33316.959999999999</v>
      </c>
      <c r="I8" s="1029">
        <f>+'11.38 Grants Approp Rsrv'!I27</f>
        <v>169129.99000000002</v>
      </c>
      <c r="J8" s="1029">
        <f>+'11.38 Grants Approp Rsrv'!J27</f>
        <v>0</v>
      </c>
      <c r="K8" s="1029">
        <f>+'11.38 Grants Approp Rsrv'!K27</f>
        <v>0</v>
      </c>
      <c r="L8" s="1030">
        <f>+'11.38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3610</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5GUB4QLkJ2C1B6v3Pdfo/nUKsv7sPAW0nshSDY8gG2gGombnQ4TC3J+OKDV7kt/APg7EnvZoYgRAc0WKIPGdOw==" saltValue="sggzE6Hg9lPKtYVgMRniX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pageSetUpPr fitToPage="1"/>
  </sheetPr>
  <dimension ref="A1:O34"/>
  <sheetViews>
    <sheetView tabSelected="1" zoomScaleNormal="100" workbookViewId="0">
      <selection activeCell="L28" sqref="A1:L28"/>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+'11.39 Grants Approp Rsrv'!F27</f>
        <v>294944.29999999993</v>
      </c>
      <c r="G8" s="1029">
        <f>+'11.39 Grants Approp Rsrv'!G27</f>
        <v>216254.39</v>
      </c>
      <c r="H8" s="1029">
        <f>+'11.39 Grants Approp Rsrv'!H27</f>
        <v>33316.959999999999</v>
      </c>
      <c r="I8" s="1029">
        <f>+'11.39 Grants Approp Rsrv'!I27</f>
        <v>169129.99000000002</v>
      </c>
      <c r="J8" s="1029">
        <f>+'11.39 Grants Approp Rsrv'!J27</f>
        <v>0</v>
      </c>
      <c r="K8" s="1029">
        <f>+'11.39 Grants Approp Rsrv'!K27</f>
        <v>0</v>
      </c>
      <c r="L8" s="1030">
        <f>+'11.39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3611</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A17" s="1612"/>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3571</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E4Bc5HNmyXMarLLMnxhBl0O19YoFCF6P8FOgVsuZQAivj1u8xlPYjX20ersxUHmMdMZN8hAKpottmYYpghJ5jg==" saltValue="8bNkRdgjwYso2g0dEP80rQ==" spinCount="100000" sheet="1" objects="1" scenarios="1"/>
  <customSheetViews>
    <customSheetView guid="{AC653BD0-46E3-42CB-9C76-32121A57B65A}">
      <selection activeCell="B1" sqref="B1"/>
      <pageMargins left="0.25" right="0.25" top="0.5" bottom="0.5" header="0.25" footer="0.25"/>
      <pageSetup paperSize="5" scale="99" orientation="landscape" r:id="rId1"/>
      <headerFooter alignWithMargins="0"/>
    </customSheetView>
    <customSheetView guid="{B165479B-DC25-403C-9595-F1A88A4AA9A2}" topLeftCell="A13">
      <selection activeCell="B1" sqref="B1"/>
      <pageMargins left="0.25" right="0.25" top="0.5" bottom="0.5" header="0.25" footer="0.25"/>
      <pageSetup paperSize="5" scale="99" orientation="landscape" r:id="rId2"/>
      <headerFooter alignWithMargins="0"/>
    </customSheetView>
    <customSheetView guid="{A64E4C9E-A3DA-4AAA-8607-F524450B9436}" topLeftCell="A13">
      <selection activeCell="B1" sqref="B1"/>
      <pageMargins left="0.25" right="0.25" top="0.5" bottom="0.5" header="0.25" footer="0.25"/>
      <pageSetup paperSize="5" scale="99" orientation="landscape" r:id="rId3"/>
      <headerFooter alignWithMargins="0"/>
    </customSheetView>
    <customSheetView guid="{AB4FBD91-4533-473A-9702-569FF6402073}" topLeftCell="A13">
      <selection activeCell="B1" sqref="B1"/>
      <pageMargins left="0.25" right="0.25" top="0.5" bottom="0.5" header="0.25" footer="0.25"/>
      <pageSetup paperSize="5" scale="99" orientation="landscape" r:id="rId4"/>
      <headerFooter alignWithMargins="0"/>
    </customSheetView>
  </customSheetViews>
  <mergeCells count="24">
    <mergeCell ref="B23:E23"/>
    <mergeCell ref="B24:E24"/>
    <mergeCell ref="B25:E25"/>
    <mergeCell ref="B26:E26"/>
    <mergeCell ref="B18:E18"/>
    <mergeCell ref="B19:E19"/>
    <mergeCell ref="B20:E20"/>
    <mergeCell ref="B21:E21"/>
    <mergeCell ref="B22:E22"/>
    <mergeCell ref="A15:A17"/>
    <mergeCell ref="B2:L2"/>
    <mergeCell ref="B3:L3"/>
    <mergeCell ref="G4:H4"/>
    <mergeCell ref="B5:E5"/>
    <mergeCell ref="G5:H5"/>
    <mergeCell ref="B9:E9"/>
    <mergeCell ref="B10:E10"/>
    <mergeCell ref="B11:E11"/>
    <mergeCell ref="B12:E12"/>
    <mergeCell ref="B13:E13"/>
    <mergeCell ref="B14:E14"/>
    <mergeCell ref="B15:E15"/>
    <mergeCell ref="B16:E16"/>
    <mergeCell ref="B17:E17"/>
  </mergeCells>
  <pageMargins left="0.25" right="0.25" top="0.5" bottom="0.5" header="0.25" footer="0.25"/>
  <pageSetup paperSize="5" orientation="landscape" r:id="rId5"/>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S32"/>
  <sheetViews>
    <sheetView zoomScaleNormal="100" workbookViewId="0">
      <selection activeCell="B1" sqref="B1"/>
    </sheetView>
  </sheetViews>
  <sheetFormatPr defaultRowHeight="13.2"/>
  <cols>
    <col min="1" max="1" width="5.6640625" customWidth="1"/>
    <col min="2" max="4" width="4.88671875" customWidth="1"/>
    <col min="5" max="5" width="48.44140625" customWidth="1"/>
    <col min="6" max="11" width="15.6640625" customWidth="1"/>
    <col min="12" max="12" width="10.5546875" bestFit="1" customWidth="1"/>
  </cols>
  <sheetData>
    <row r="1" spans="1:19">
      <c r="A1" s="324"/>
      <c r="B1" s="322"/>
      <c r="C1" s="322"/>
      <c r="D1" s="322"/>
      <c r="E1" s="322"/>
      <c r="F1" s="322"/>
      <c r="G1" s="322"/>
      <c r="H1" s="322"/>
      <c r="I1" s="322"/>
      <c r="J1" s="322"/>
      <c r="K1" s="322"/>
    </row>
    <row r="2" spans="1:19" ht="20.399999999999999">
      <c r="B2" s="1508" t="s">
        <v>305</v>
      </c>
      <c r="C2" s="1508"/>
      <c r="D2" s="1508"/>
      <c r="E2" s="1508"/>
      <c r="F2" s="1508"/>
      <c r="G2" s="1508"/>
      <c r="H2" s="1508"/>
      <c r="I2" s="1508"/>
      <c r="J2" s="1508"/>
      <c r="K2" s="1508"/>
    </row>
    <row r="3" spans="1:19" ht="21" thickBot="1">
      <c r="B3" s="1508" t="s">
        <v>135</v>
      </c>
      <c r="C3" s="1508"/>
      <c r="D3" s="1508"/>
      <c r="E3" s="1508"/>
      <c r="F3" s="1508"/>
      <c r="G3" s="1508"/>
      <c r="H3" s="1508"/>
      <c r="I3" s="1508"/>
      <c r="J3" s="1508"/>
      <c r="K3" s="1508"/>
    </row>
    <row r="4" spans="1:19" ht="13.8" thickTop="1">
      <c r="B4" s="11"/>
      <c r="C4" s="11"/>
      <c r="D4" s="11"/>
      <c r="E4" s="11"/>
      <c r="F4" s="12"/>
      <c r="G4" s="1600" t="str">
        <f>"Transferred from "&amp;TEXT('KEY INPUTS'!D34,"0")</f>
        <v>Transferred from 2019</v>
      </c>
      <c r="H4" s="1601"/>
      <c r="I4" s="12"/>
      <c r="J4" s="11"/>
      <c r="K4" s="18"/>
      <c r="L4" s="792"/>
    </row>
    <row r="5" spans="1:19">
      <c r="B5" s="1546" t="s">
        <v>804</v>
      </c>
      <c r="C5" s="1546"/>
      <c r="D5" s="1546"/>
      <c r="E5" s="1595"/>
      <c r="F5" s="282" t="s">
        <v>671</v>
      </c>
      <c r="G5" s="1602" t="s">
        <v>301</v>
      </c>
      <c r="H5" s="1603"/>
      <c r="I5" s="282" t="s">
        <v>803</v>
      </c>
      <c r="J5" s="708" t="s">
        <v>280</v>
      </c>
      <c r="K5" s="21" t="s">
        <v>671</v>
      </c>
    </row>
    <row r="6" spans="1:19">
      <c r="B6" s="322"/>
      <c r="C6" s="322"/>
      <c r="D6" s="322"/>
      <c r="E6" s="322"/>
      <c r="F6" s="299" t="str">
        <f>'KEY INPUTS'!D47</f>
        <v>Jan. 1, 2019</v>
      </c>
      <c r="G6" s="282" t="s">
        <v>676</v>
      </c>
      <c r="H6" s="282" t="s">
        <v>299</v>
      </c>
      <c r="I6" s="282"/>
      <c r="J6" s="997"/>
      <c r="K6" s="298" t="str">
        <f>'KEY INPUTS'!D46</f>
        <v>Dec. 31, 2019</v>
      </c>
    </row>
    <row r="7" spans="1:19" ht="13.8" thickBot="1">
      <c r="B7" s="10"/>
      <c r="C7" s="10"/>
      <c r="D7" s="10"/>
      <c r="E7" s="10"/>
      <c r="F7" s="14"/>
      <c r="G7" s="16"/>
      <c r="H7" s="16" t="s">
        <v>300</v>
      </c>
      <c r="I7" s="14"/>
      <c r="J7" s="17"/>
      <c r="K7" s="19"/>
    </row>
    <row r="8" spans="1:19" ht="21" customHeight="1" thickTop="1">
      <c r="B8" s="569"/>
      <c r="C8" s="642"/>
      <c r="D8" s="569"/>
      <c r="E8" s="713"/>
      <c r="F8" s="571"/>
      <c r="G8" s="571"/>
      <c r="H8" s="571"/>
      <c r="I8" s="571"/>
      <c r="J8" s="571"/>
      <c r="K8" s="134">
        <f>F8-G8-H8+I8+J8</f>
        <v>0</v>
      </c>
    </row>
    <row r="9" spans="1:19" ht="21" customHeight="1">
      <c r="B9" s="566"/>
      <c r="C9" s="567"/>
      <c r="D9" s="566"/>
      <c r="E9" s="577"/>
      <c r="F9" s="374"/>
      <c r="G9" s="374"/>
      <c r="H9" s="374"/>
      <c r="I9" s="374"/>
      <c r="J9" s="374"/>
      <c r="K9" s="134">
        <f t="shared" ref="K9:K26" si="0">F9-G9-H9+I9+J9</f>
        <v>0</v>
      </c>
    </row>
    <row r="10" spans="1:19" ht="21" customHeight="1">
      <c r="B10" s="566"/>
      <c r="C10" s="566"/>
      <c r="D10" s="566"/>
      <c r="E10" s="577"/>
      <c r="F10" s="374"/>
      <c r="G10" s="374"/>
      <c r="H10" s="374"/>
      <c r="I10" s="374"/>
      <c r="J10" s="374"/>
      <c r="K10" s="134">
        <f t="shared" si="0"/>
        <v>0</v>
      </c>
    </row>
    <row r="11" spans="1:19" ht="21" customHeight="1">
      <c r="B11" s="566"/>
      <c r="C11" s="566"/>
      <c r="D11" s="566"/>
      <c r="E11" s="577"/>
      <c r="F11" s="374"/>
      <c r="G11" s="374"/>
      <c r="H11" s="374"/>
      <c r="I11" s="374"/>
      <c r="J11" s="374"/>
      <c r="K11" s="134">
        <f t="shared" si="0"/>
        <v>0</v>
      </c>
      <c r="L11" s="228"/>
    </row>
    <row r="12" spans="1:19" ht="21" customHeight="1">
      <c r="B12" s="566"/>
      <c r="C12" s="566"/>
      <c r="D12" s="566"/>
      <c r="E12" s="577"/>
      <c r="F12" s="374"/>
      <c r="G12" s="374"/>
      <c r="H12" s="374"/>
      <c r="I12" s="374"/>
      <c r="J12" s="374"/>
      <c r="K12" s="134">
        <f t="shared" si="0"/>
        <v>0</v>
      </c>
      <c r="N12" s="322"/>
      <c r="O12" s="322"/>
      <c r="P12" s="322"/>
      <c r="Q12" s="322"/>
      <c r="R12" s="322"/>
      <c r="S12" s="322"/>
    </row>
    <row r="13" spans="1:19" ht="21" customHeight="1">
      <c r="B13" s="566"/>
      <c r="C13" s="566"/>
      <c r="D13" s="566"/>
      <c r="E13" s="577"/>
      <c r="F13" s="374"/>
      <c r="G13" s="374"/>
      <c r="H13" s="374"/>
      <c r="I13" s="374"/>
      <c r="J13" s="374"/>
      <c r="K13" s="134">
        <f t="shared" si="0"/>
        <v>0</v>
      </c>
      <c r="L13" s="228"/>
      <c r="N13" s="322"/>
      <c r="O13" s="322"/>
      <c r="P13" s="322"/>
      <c r="Q13" s="322"/>
      <c r="R13" s="322"/>
      <c r="S13" s="322"/>
    </row>
    <row r="14" spans="1:19" ht="21" customHeight="1">
      <c r="B14" s="566"/>
      <c r="C14" s="566"/>
      <c r="D14" s="566"/>
      <c r="E14" s="577"/>
      <c r="F14" s="374"/>
      <c r="G14" s="374"/>
      <c r="H14" s="374"/>
      <c r="I14" s="374"/>
      <c r="J14" s="374"/>
      <c r="K14" s="134">
        <f t="shared" si="0"/>
        <v>0</v>
      </c>
      <c r="N14" s="377"/>
      <c r="O14" s="322"/>
      <c r="P14" s="322"/>
      <c r="Q14" s="322"/>
      <c r="R14" s="322"/>
      <c r="S14" s="322"/>
    </row>
    <row r="15" spans="1:19" ht="21" customHeight="1">
      <c r="A15" s="1577" t="s">
        <v>304</v>
      </c>
      <c r="B15" s="566"/>
      <c r="C15" s="566"/>
      <c r="D15" s="566"/>
      <c r="E15" s="577"/>
      <c r="F15" s="374"/>
      <c r="G15" s="374"/>
      <c r="H15" s="374"/>
      <c r="I15" s="374"/>
      <c r="J15" s="374"/>
      <c r="K15" s="134">
        <f t="shared" si="0"/>
        <v>0</v>
      </c>
      <c r="L15" s="228"/>
      <c r="N15" s="322"/>
      <c r="O15" s="322"/>
      <c r="P15" s="322"/>
      <c r="Q15" s="322"/>
      <c r="R15" s="322"/>
      <c r="S15" s="322"/>
    </row>
    <row r="16" spans="1:19" ht="21" customHeight="1">
      <c r="A16" s="1577"/>
      <c r="B16" s="566"/>
      <c r="C16" s="566"/>
      <c r="D16" s="566"/>
      <c r="E16" s="577"/>
      <c r="F16" s="374"/>
      <c r="G16" s="374"/>
      <c r="H16" s="374"/>
      <c r="I16" s="374"/>
      <c r="J16" s="374"/>
      <c r="K16" s="134">
        <f t="shared" si="0"/>
        <v>0</v>
      </c>
      <c r="N16" s="322"/>
      <c r="O16" s="322"/>
      <c r="P16" s="322"/>
      <c r="Q16" s="322"/>
      <c r="R16" s="322"/>
      <c r="S16" s="322"/>
    </row>
    <row r="17" spans="1:19" ht="21" customHeight="1">
      <c r="A17" s="1577"/>
      <c r="B17" s="566"/>
      <c r="C17" s="566"/>
      <c r="D17" s="566"/>
      <c r="E17" s="577"/>
      <c r="F17" s="374"/>
      <c r="G17" s="374"/>
      <c r="H17" s="374"/>
      <c r="I17" s="374"/>
      <c r="J17" s="374"/>
      <c r="K17" s="134">
        <f t="shared" si="0"/>
        <v>0</v>
      </c>
      <c r="L17" s="228"/>
      <c r="N17" s="322"/>
      <c r="O17" s="322"/>
      <c r="P17" s="322"/>
      <c r="Q17" s="322"/>
      <c r="R17" s="322"/>
      <c r="S17" s="322"/>
    </row>
    <row r="18" spans="1:19" ht="21" customHeight="1">
      <c r="B18" s="566"/>
      <c r="C18" s="566"/>
      <c r="D18" s="566"/>
      <c r="E18" s="577"/>
      <c r="F18" s="374"/>
      <c r="G18" s="374"/>
      <c r="H18" s="374"/>
      <c r="I18" s="374"/>
      <c r="J18" s="374"/>
      <c r="K18" s="134">
        <f t="shared" si="0"/>
        <v>0</v>
      </c>
      <c r="N18" s="322"/>
      <c r="O18" s="322"/>
      <c r="P18" s="322"/>
      <c r="Q18" s="322"/>
      <c r="R18" s="322"/>
      <c r="S18" s="322"/>
    </row>
    <row r="19" spans="1:19" ht="21" customHeight="1">
      <c r="B19" s="566"/>
      <c r="C19" s="566"/>
      <c r="D19" s="566"/>
      <c r="E19" s="577"/>
      <c r="F19" s="374"/>
      <c r="G19" s="374"/>
      <c r="H19" s="374"/>
      <c r="I19" s="374"/>
      <c r="J19" s="374"/>
      <c r="K19" s="134">
        <f t="shared" si="0"/>
        <v>0</v>
      </c>
      <c r="L19" s="228"/>
      <c r="N19" s="322"/>
      <c r="O19" s="322"/>
      <c r="P19" s="322"/>
      <c r="Q19" s="322"/>
      <c r="R19" s="322"/>
      <c r="S19" s="322"/>
    </row>
    <row r="20" spans="1:19" ht="21" customHeight="1">
      <c r="B20" s="566"/>
      <c r="C20" s="566"/>
      <c r="D20" s="566"/>
      <c r="E20" s="577"/>
      <c r="F20" s="374"/>
      <c r="G20" s="374"/>
      <c r="H20" s="374"/>
      <c r="I20" s="374"/>
      <c r="J20" s="374"/>
      <c r="K20" s="134">
        <f t="shared" si="0"/>
        <v>0</v>
      </c>
      <c r="N20" s="322"/>
      <c r="O20" s="322"/>
      <c r="P20" s="322"/>
      <c r="Q20" s="322"/>
      <c r="R20" s="322"/>
      <c r="S20" s="322"/>
    </row>
    <row r="21" spans="1:19" s="322" customFormat="1" ht="21" customHeight="1">
      <c r="B21" s="566"/>
      <c r="C21" s="566"/>
      <c r="D21" s="566"/>
      <c r="E21" s="577"/>
      <c r="F21" s="374"/>
      <c r="G21" s="374"/>
      <c r="H21" s="374"/>
      <c r="I21" s="374"/>
      <c r="J21" s="374"/>
      <c r="K21" s="134">
        <f t="shared" si="0"/>
        <v>0</v>
      </c>
    </row>
    <row r="22" spans="1:19" s="322" customFormat="1" ht="21" customHeight="1">
      <c r="B22" s="566"/>
      <c r="C22" s="566"/>
      <c r="D22" s="566"/>
      <c r="E22" s="577"/>
      <c r="F22" s="374"/>
      <c r="G22" s="374"/>
      <c r="H22" s="374"/>
      <c r="I22" s="374"/>
      <c r="J22" s="374"/>
      <c r="K22" s="134">
        <f t="shared" si="0"/>
        <v>0</v>
      </c>
    </row>
    <row r="23" spans="1:19" ht="21" customHeight="1">
      <c r="B23" s="566"/>
      <c r="C23" s="566"/>
      <c r="D23" s="566"/>
      <c r="E23" s="577"/>
      <c r="F23" s="374"/>
      <c r="G23" s="374"/>
      <c r="H23" s="374"/>
      <c r="I23" s="374"/>
      <c r="J23" s="374"/>
      <c r="K23" s="134">
        <f t="shared" si="0"/>
        <v>0</v>
      </c>
      <c r="L23" s="291"/>
      <c r="N23" s="322"/>
      <c r="O23" s="322"/>
      <c r="P23" s="322"/>
      <c r="Q23" s="322"/>
      <c r="R23" s="322"/>
      <c r="S23" s="322"/>
    </row>
    <row r="24" spans="1:19" ht="21" customHeight="1">
      <c r="B24" s="566"/>
      <c r="C24" s="566"/>
      <c r="D24" s="566"/>
      <c r="E24" s="577"/>
      <c r="F24" s="374"/>
      <c r="G24" s="374"/>
      <c r="H24" s="374"/>
      <c r="I24" s="374"/>
      <c r="J24" s="374"/>
      <c r="K24" s="134">
        <f t="shared" si="0"/>
        <v>0</v>
      </c>
      <c r="N24" s="322"/>
      <c r="O24" s="322"/>
      <c r="P24" s="322"/>
      <c r="Q24" s="322"/>
      <c r="R24" s="322"/>
      <c r="S24" s="322"/>
    </row>
    <row r="25" spans="1:19" ht="21" customHeight="1">
      <c r="B25" s="566"/>
      <c r="C25" s="566"/>
      <c r="D25" s="566"/>
      <c r="E25" s="577"/>
      <c r="F25" s="374"/>
      <c r="G25" s="374"/>
      <c r="H25" s="374"/>
      <c r="I25" s="374"/>
      <c r="J25" s="374"/>
      <c r="K25" s="134">
        <f t="shared" si="0"/>
        <v>0</v>
      </c>
      <c r="L25" s="291"/>
      <c r="N25" s="322"/>
      <c r="O25" s="322"/>
      <c r="P25" s="322"/>
      <c r="Q25" s="322"/>
      <c r="R25" s="322"/>
      <c r="S25" s="322"/>
    </row>
    <row r="26" spans="1:19" ht="21" customHeight="1">
      <c r="B26" s="566"/>
      <c r="C26" s="566"/>
      <c r="D26" s="566"/>
      <c r="E26" s="577"/>
      <c r="F26" s="374"/>
      <c r="G26" s="374"/>
      <c r="H26" s="374"/>
      <c r="I26" s="374"/>
      <c r="J26" s="374"/>
      <c r="K26" s="134">
        <f t="shared" si="0"/>
        <v>0</v>
      </c>
      <c r="N26" s="322"/>
      <c r="O26" s="322"/>
      <c r="P26" s="322"/>
      <c r="Q26" s="322"/>
      <c r="R26" s="322"/>
      <c r="S26" s="322"/>
    </row>
    <row r="27" spans="1:19" ht="21" customHeight="1" thickBot="1">
      <c r="B27" s="27"/>
      <c r="C27" s="328" t="s">
        <v>3545</v>
      </c>
      <c r="D27" s="27"/>
      <c r="E27" s="41"/>
      <c r="F27" s="99">
        <f>SUM(F8:F26)</f>
        <v>0</v>
      </c>
      <c r="G27" s="99">
        <f t="shared" ref="G27:K27" si="1">SUM(G8:G26)</f>
        <v>0</v>
      </c>
      <c r="H27" s="99">
        <f t="shared" si="1"/>
        <v>0</v>
      </c>
      <c r="I27" s="99">
        <f>SUM(I8:I26)</f>
        <v>0</v>
      </c>
      <c r="J27" s="99">
        <f t="shared" si="1"/>
        <v>0</v>
      </c>
      <c r="K27" s="136">
        <f t="shared" si="1"/>
        <v>0</v>
      </c>
      <c r="L27" s="710"/>
    </row>
    <row r="28" spans="1:19" ht="13.8" thickTop="1"/>
    <row r="29" spans="1:19">
      <c r="K29" s="228"/>
    </row>
    <row r="30" spans="1:19">
      <c r="F30" s="228"/>
      <c r="G30" s="228"/>
      <c r="J30" s="228"/>
      <c r="K30" s="291"/>
    </row>
    <row r="32" spans="1:19">
      <c r="K32" s="228"/>
    </row>
  </sheetData>
  <sheetProtection password="CAF9" sheet="1" objects="1" scenarios="1"/>
  <customSheetViews>
    <customSheetView guid="{AC653BD0-46E3-42CB-9C76-32121A57B65A}" state="hidden">
      <selection activeCell="B1" sqref="B1"/>
      <pageMargins left="0.25" right="0.25" top="0.5" bottom="0.5" header="0.25" footer="0.25"/>
      <pageSetup paperSize="5" scale="98" orientation="landscape" r:id="rId1"/>
      <headerFooter alignWithMargins="0"/>
    </customSheetView>
    <customSheetView guid="{B165479B-DC25-403C-9595-F1A88A4AA9A2}" state="hidden">
      <selection activeCell="B1" sqref="B1"/>
      <pageMargins left="0.25" right="0.25" top="0.5" bottom="0.5" header="0.25" footer="0.25"/>
      <pageSetup paperSize="5" scale="98" orientation="landscape" r:id="rId2"/>
      <headerFooter alignWithMargins="0"/>
    </customSheetView>
    <customSheetView guid="{A64E4C9E-A3DA-4AAA-8607-F524450B9436}" state="hidden">
      <selection activeCell="B1" sqref="B1"/>
      <pageMargins left="0.25" right="0.25" top="0.5" bottom="0.5" header="0.25" footer="0.25"/>
      <pageSetup paperSize="5" scale="98" orientation="landscape" r:id="rId3"/>
      <headerFooter alignWithMargins="0"/>
    </customSheetView>
    <customSheetView guid="{AB4FBD91-4533-473A-9702-569FF6402073}" state="hidden">
      <selection activeCell="B1" sqref="B1"/>
      <pageMargins left="0.25" right="0.25" top="0.5" bottom="0.5" header="0.25" footer="0.25"/>
      <pageSetup paperSize="5" scale="98" orientation="landscape" r:id="rId4"/>
      <headerFooter alignWithMargins="0"/>
    </customSheetView>
  </customSheetViews>
  <mergeCells count="6">
    <mergeCell ref="B2:K2"/>
    <mergeCell ref="B3:K3"/>
    <mergeCell ref="A15:A17"/>
    <mergeCell ref="B5:E5"/>
    <mergeCell ref="G4:H4"/>
    <mergeCell ref="G5:H5"/>
  </mergeCells>
  <phoneticPr fontId="0" type="noConversion"/>
  <pageMargins left="0.25" right="0.25" top="0.5" bottom="0.5" header="0.25" footer="0.25"/>
  <pageSetup paperSize="5" scale="98" orientation="landscape" r:id="rId5"/>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48.44140625" style="322" customWidth="1"/>
    <col min="6" max="11" width="15.6640625" style="322" customWidth="1"/>
    <col min="12" max="12" width="10.5546875" style="322" bestFit="1" customWidth="1"/>
    <col min="13" max="16384" width="9.109375" style="322"/>
  </cols>
  <sheetData>
    <row r="1" spans="1:14">
      <c r="A1" s="324"/>
      <c r="B1" s="853"/>
      <c r="C1" s="853"/>
      <c r="D1" s="853"/>
      <c r="E1" s="853"/>
      <c r="F1" s="853"/>
      <c r="G1" s="853"/>
      <c r="H1" s="853"/>
      <c r="I1" s="853"/>
      <c r="J1" s="853"/>
      <c r="K1" s="853"/>
    </row>
    <row r="2" spans="1:14" ht="20.399999999999999">
      <c r="B2" s="1596" t="s">
        <v>305</v>
      </c>
      <c r="C2" s="1596"/>
      <c r="D2" s="1596"/>
      <c r="E2" s="1596"/>
      <c r="F2" s="1596"/>
      <c r="G2" s="1596"/>
      <c r="H2" s="1596"/>
      <c r="I2" s="1596"/>
      <c r="J2" s="1596"/>
      <c r="K2" s="1596"/>
    </row>
    <row r="3" spans="1:14" ht="21" thickBot="1">
      <c r="B3" s="1596" t="s">
        <v>135</v>
      </c>
      <c r="C3" s="1596"/>
      <c r="D3" s="1596"/>
      <c r="E3" s="1596"/>
      <c r="F3" s="1596"/>
      <c r="G3" s="1596"/>
      <c r="H3" s="1596"/>
      <c r="I3" s="1596"/>
      <c r="J3" s="1596"/>
      <c r="K3" s="1596"/>
    </row>
    <row r="4" spans="1:14" ht="13.8" thickTop="1">
      <c r="B4" s="886"/>
      <c r="C4" s="886"/>
      <c r="D4" s="886"/>
      <c r="E4" s="886"/>
      <c r="F4" s="887"/>
      <c r="G4" s="1606" t="str">
        <f>"Transferred from "&amp;TEXT('KEY INPUTS'!D34,"0")</f>
        <v>Transferred from 2019</v>
      </c>
      <c r="H4" s="1607"/>
      <c r="I4" s="887"/>
      <c r="J4" s="886"/>
      <c r="K4" s="863"/>
      <c r="L4" s="792"/>
    </row>
    <row r="5" spans="1:14">
      <c r="B5" s="1597" t="s">
        <v>804</v>
      </c>
      <c r="C5" s="1597"/>
      <c r="D5" s="1597"/>
      <c r="E5" s="1598"/>
      <c r="F5" s="889" t="s">
        <v>671</v>
      </c>
      <c r="G5" s="1608" t="s">
        <v>301</v>
      </c>
      <c r="H5" s="1609"/>
      <c r="I5" s="889" t="s">
        <v>803</v>
      </c>
      <c r="J5" s="1031" t="s">
        <v>280</v>
      </c>
      <c r="K5" s="864" t="s">
        <v>671</v>
      </c>
    </row>
    <row r="6" spans="1:14">
      <c r="B6" s="853"/>
      <c r="C6" s="853"/>
      <c r="D6" s="853"/>
      <c r="E6" s="853"/>
      <c r="F6" s="892" t="str">
        <f>'KEY INPUTS'!D47</f>
        <v>Jan. 1, 2019</v>
      </c>
      <c r="G6" s="889" t="s">
        <v>676</v>
      </c>
      <c r="H6" s="889" t="s">
        <v>299</v>
      </c>
      <c r="I6" s="889"/>
      <c r="J6" s="894"/>
      <c r="K6" s="865" t="str">
        <f>'KEY INPUTS'!D46</f>
        <v>Dec. 31, 2019</v>
      </c>
    </row>
    <row r="7" spans="1:14" ht="13.8" thickBot="1">
      <c r="B7" s="895"/>
      <c r="C7" s="895"/>
      <c r="D7" s="895"/>
      <c r="E7" s="895"/>
      <c r="F7" s="896"/>
      <c r="G7" s="897"/>
      <c r="H7" s="897" t="s">
        <v>300</v>
      </c>
      <c r="I7" s="896"/>
      <c r="J7" s="898"/>
      <c r="K7" s="866"/>
    </row>
    <row r="8" spans="1:14" ht="21" customHeight="1" thickTop="1">
      <c r="B8" s="883"/>
      <c r="C8" s="1032" t="s">
        <v>3546</v>
      </c>
      <c r="D8" s="883"/>
      <c r="E8" s="1032"/>
      <c r="F8" s="900">
        <f>+'12-Grants Unappropriated'!F27</f>
        <v>0</v>
      </c>
      <c r="G8" s="900">
        <f>+'12-Grants Unappropriated'!G27</f>
        <v>0</v>
      </c>
      <c r="H8" s="900">
        <f>+'12-Grants Unappropriated'!H27</f>
        <v>0</v>
      </c>
      <c r="I8" s="900">
        <f>+'12-Grants Unappropriated'!I27</f>
        <v>0</v>
      </c>
      <c r="J8" s="900">
        <f>+'12-Grants Unappropriated'!J27</f>
        <v>0</v>
      </c>
      <c r="K8" s="844">
        <f>+'12-Grants Unappropriated'!K27</f>
        <v>0</v>
      </c>
    </row>
    <row r="9" spans="1:14" ht="21" customHeight="1">
      <c r="B9" s="566"/>
      <c r="C9" s="567"/>
      <c r="D9" s="566"/>
      <c r="E9" s="577"/>
      <c r="F9" s="374"/>
      <c r="G9" s="374"/>
      <c r="H9" s="374"/>
      <c r="I9" s="374"/>
      <c r="J9" s="374"/>
      <c r="K9" s="134">
        <f t="shared" ref="K9:K26" si="0">F9-G9-H9+I9+J9</f>
        <v>0</v>
      </c>
    </row>
    <row r="10" spans="1:14" ht="21" customHeight="1">
      <c r="B10" s="566"/>
      <c r="C10" s="666"/>
      <c r="D10" s="375"/>
      <c r="E10" s="793"/>
      <c r="F10" s="664"/>
      <c r="G10" s="664"/>
      <c r="H10" s="664"/>
      <c r="I10" s="664"/>
      <c r="J10" s="664"/>
      <c r="K10" s="134">
        <f t="shared" si="0"/>
        <v>0</v>
      </c>
    </row>
    <row r="11" spans="1:14" ht="21" customHeight="1">
      <c r="B11" s="566"/>
      <c r="C11" s="566"/>
      <c r="D11" s="566"/>
      <c r="E11" s="577"/>
      <c r="F11" s="374"/>
      <c r="G11" s="374"/>
      <c r="H11" s="374"/>
      <c r="I11" s="374"/>
      <c r="J11" s="374"/>
      <c r="K11" s="134">
        <f t="shared" si="0"/>
        <v>0</v>
      </c>
      <c r="L11" s="325"/>
    </row>
    <row r="12" spans="1:14" ht="21" customHeight="1">
      <c r="B12" s="566"/>
      <c r="C12" s="566"/>
      <c r="D12" s="566"/>
      <c r="E12" s="577"/>
      <c r="F12" s="374"/>
      <c r="G12" s="374"/>
      <c r="H12" s="374"/>
      <c r="I12" s="374"/>
      <c r="J12" s="374"/>
      <c r="K12" s="134">
        <f t="shared" si="0"/>
        <v>0</v>
      </c>
    </row>
    <row r="13" spans="1:14" ht="21" customHeight="1">
      <c r="B13" s="566"/>
      <c r="C13" s="566"/>
      <c r="D13" s="566"/>
      <c r="E13" s="577"/>
      <c r="F13" s="374"/>
      <c r="G13" s="374"/>
      <c r="H13" s="374"/>
      <c r="I13" s="374"/>
      <c r="J13" s="374"/>
      <c r="K13" s="134">
        <f t="shared" si="0"/>
        <v>0</v>
      </c>
      <c r="L13" s="325"/>
    </row>
    <row r="14" spans="1:14" ht="21" customHeight="1">
      <c r="B14" s="566"/>
      <c r="C14" s="566"/>
      <c r="D14" s="566"/>
      <c r="E14" s="577"/>
      <c r="F14" s="374"/>
      <c r="G14" s="374"/>
      <c r="H14" s="374"/>
      <c r="I14" s="374"/>
      <c r="J14" s="374"/>
      <c r="K14" s="134">
        <f t="shared" si="0"/>
        <v>0</v>
      </c>
      <c r="N14" s="377"/>
    </row>
    <row r="15" spans="1:14" ht="21" customHeight="1">
      <c r="A15" s="1577" t="s">
        <v>3663</v>
      </c>
      <c r="B15" s="566"/>
      <c r="C15" s="566"/>
      <c r="D15" s="566"/>
      <c r="E15" s="577"/>
      <c r="F15" s="374"/>
      <c r="G15" s="374"/>
      <c r="H15" s="374"/>
      <c r="I15" s="374"/>
      <c r="J15" s="374"/>
      <c r="K15" s="134">
        <f t="shared" si="0"/>
        <v>0</v>
      </c>
      <c r="L15" s="325"/>
    </row>
    <row r="16" spans="1:14" ht="21" customHeight="1">
      <c r="A16" s="1577"/>
      <c r="B16" s="566"/>
      <c r="C16" s="566"/>
      <c r="D16" s="566"/>
      <c r="E16" s="577"/>
      <c r="F16" s="374"/>
      <c r="G16" s="374"/>
      <c r="H16" s="374"/>
      <c r="I16" s="374"/>
      <c r="J16" s="374"/>
      <c r="K16" s="134">
        <f t="shared" si="0"/>
        <v>0</v>
      </c>
    </row>
    <row r="17" spans="1:12" ht="21" customHeight="1">
      <c r="A17" s="1577"/>
      <c r="B17" s="566"/>
      <c r="C17" s="566"/>
      <c r="D17" s="566"/>
      <c r="E17" s="577"/>
      <c r="F17" s="374"/>
      <c r="G17" s="374"/>
      <c r="H17" s="374"/>
      <c r="I17" s="374"/>
      <c r="J17" s="374"/>
      <c r="K17" s="134">
        <f t="shared" si="0"/>
        <v>0</v>
      </c>
      <c r="L17" s="325"/>
    </row>
    <row r="18" spans="1:12" ht="21" customHeight="1">
      <c r="B18" s="566"/>
      <c r="C18" s="566"/>
      <c r="D18" s="566"/>
      <c r="E18" s="577"/>
      <c r="F18" s="374"/>
      <c r="G18" s="374"/>
      <c r="H18" s="374"/>
      <c r="I18" s="374"/>
      <c r="J18" s="374"/>
      <c r="K18" s="134">
        <f t="shared" si="0"/>
        <v>0</v>
      </c>
    </row>
    <row r="19" spans="1:12" ht="21" customHeight="1">
      <c r="B19" s="566"/>
      <c r="C19" s="566"/>
      <c r="D19" s="566"/>
      <c r="E19" s="577"/>
      <c r="F19" s="374"/>
      <c r="G19" s="374"/>
      <c r="H19" s="374"/>
      <c r="I19" s="374"/>
      <c r="J19" s="374"/>
      <c r="K19" s="134">
        <f t="shared" si="0"/>
        <v>0</v>
      </c>
      <c r="L19" s="325"/>
    </row>
    <row r="20" spans="1:12" ht="21" customHeight="1">
      <c r="B20" s="566"/>
      <c r="C20" s="566"/>
      <c r="D20" s="566"/>
      <c r="E20" s="577"/>
      <c r="F20" s="374"/>
      <c r="G20" s="374"/>
      <c r="H20" s="374"/>
      <c r="I20" s="374"/>
      <c r="J20" s="374"/>
      <c r="K20" s="134">
        <f t="shared" si="0"/>
        <v>0</v>
      </c>
    </row>
    <row r="21" spans="1:12" ht="21" customHeight="1">
      <c r="B21" s="566"/>
      <c r="C21" s="566"/>
      <c r="D21" s="566"/>
      <c r="E21" s="577"/>
      <c r="F21" s="374"/>
      <c r="G21" s="374"/>
      <c r="H21" s="374"/>
      <c r="I21" s="374"/>
      <c r="J21" s="374"/>
      <c r="K21" s="134">
        <f t="shared" si="0"/>
        <v>0</v>
      </c>
    </row>
    <row r="22" spans="1:12" ht="21" customHeight="1">
      <c r="B22" s="566"/>
      <c r="C22" s="566"/>
      <c r="D22" s="566"/>
      <c r="E22" s="577"/>
      <c r="F22" s="374"/>
      <c r="G22" s="374"/>
      <c r="H22" s="374"/>
      <c r="I22" s="374"/>
      <c r="J22" s="374"/>
      <c r="K22" s="134">
        <f t="shared" si="0"/>
        <v>0</v>
      </c>
    </row>
    <row r="23" spans="1:12" ht="21" customHeight="1">
      <c r="B23" s="566"/>
      <c r="C23" s="566"/>
      <c r="D23" s="566"/>
      <c r="E23" s="577"/>
      <c r="F23" s="374"/>
      <c r="G23" s="374"/>
      <c r="H23" s="374"/>
      <c r="I23" s="374"/>
      <c r="J23" s="374"/>
      <c r="K23" s="134">
        <f t="shared" si="0"/>
        <v>0</v>
      </c>
      <c r="L23" s="325"/>
    </row>
    <row r="24" spans="1:12" ht="21" customHeight="1">
      <c r="B24" s="566"/>
      <c r="C24" s="566"/>
      <c r="D24" s="566"/>
      <c r="E24" s="577"/>
      <c r="F24" s="374"/>
      <c r="G24" s="374"/>
      <c r="H24" s="374"/>
      <c r="I24" s="374"/>
      <c r="J24" s="374"/>
      <c r="K24" s="134">
        <f t="shared" si="0"/>
        <v>0</v>
      </c>
    </row>
    <row r="25" spans="1:12" ht="21" customHeight="1">
      <c r="B25" s="566"/>
      <c r="C25" s="566"/>
      <c r="D25" s="566"/>
      <c r="E25" s="577"/>
      <c r="F25" s="374"/>
      <c r="G25" s="374"/>
      <c r="H25" s="374"/>
      <c r="I25" s="374"/>
      <c r="J25" s="374"/>
      <c r="K25" s="134">
        <f t="shared" si="0"/>
        <v>0</v>
      </c>
      <c r="L25" s="325"/>
    </row>
    <row r="26" spans="1:12" ht="21" customHeight="1">
      <c r="B26" s="566"/>
      <c r="C26" s="566"/>
      <c r="D26" s="566"/>
      <c r="E26" s="577"/>
      <c r="F26" s="374"/>
      <c r="G26" s="374"/>
      <c r="H26" s="374"/>
      <c r="I26" s="374"/>
      <c r="J26" s="374"/>
      <c r="K26" s="134">
        <f t="shared" si="0"/>
        <v>0</v>
      </c>
    </row>
    <row r="27" spans="1:12" ht="21" customHeight="1" thickBot="1">
      <c r="B27" s="27"/>
      <c r="C27" s="328" t="s">
        <v>3545</v>
      </c>
      <c r="D27" s="27"/>
      <c r="E27" s="41"/>
      <c r="F27" s="99">
        <f>SUM(F8:F26)</f>
        <v>0</v>
      </c>
      <c r="G27" s="99">
        <f t="shared" ref="G27:K27" si="1">SUM(G8:G26)</f>
        <v>0</v>
      </c>
      <c r="H27" s="99">
        <f t="shared" si="1"/>
        <v>0</v>
      </c>
      <c r="I27" s="99">
        <f>SUM(I8:I26)</f>
        <v>0</v>
      </c>
      <c r="J27" s="99">
        <f t="shared" si="1"/>
        <v>0</v>
      </c>
      <c r="K27" s="136">
        <f t="shared" si="1"/>
        <v>0</v>
      </c>
      <c r="L27" s="710"/>
    </row>
    <row r="28" spans="1:12" ht="13.8" thickTop="1"/>
    <row r="29" spans="1:12">
      <c r="K29" s="325"/>
    </row>
    <row r="30" spans="1:12">
      <c r="F30" s="325"/>
      <c r="G30" s="325"/>
      <c r="J30" s="325"/>
      <c r="K30" s="325"/>
    </row>
    <row r="32" spans="1:12">
      <c r="K32" s="325"/>
    </row>
  </sheetData>
  <sheetProtection password="CAF9" sheet="1" objects="1" scenarios="1"/>
  <customSheetViews>
    <customSheetView guid="{AC653BD0-46E3-42CB-9C76-32121A57B65A}" state="hidden">
      <selection activeCell="B1" sqref="B1"/>
      <pageMargins left="0.25" right="0.25" top="0.5" bottom="0.5" header="0.25" footer="0.25"/>
      <pageSetup paperSize="5" scale="98" orientation="landscape" r:id="rId1"/>
      <headerFooter alignWithMargins="0"/>
    </customSheetView>
    <customSheetView guid="{B165479B-DC25-403C-9595-F1A88A4AA9A2}" state="hidden">
      <selection activeCell="B1" sqref="B1"/>
      <pageMargins left="0.25" right="0.25" top="0.5" bottom="0.5" header="0.25" footer="0.25"/>
      <pageSetup paperSize="5" scale="98" orientation="landscape" r:id="rId2"/>
      <headerFooter alignWithMargins="0"/>
    </customSheetView>
    <customSheetView guid="{A64E4C9E-A3DA-4AAA-8607-F524450B9436}" state="hidden">
      <selection activeCell="B1" sqref="B1"/>
      <pageMargins left="0.25" right="0.25" top="0.5" bottom="0.5" header="0.25" footer="0.25"/>
      <pageSetup paperSize="5" scale="98" orientation="landscape" r:id="rId3"/>
      <headerFooter alignWithMargins="0"/>
    </customSheetView>
    <customSheetView guid="{AB4FBD91-4533-473A-9702-569FF6402073}" state="hidden">
      <selection activeCell="B1" sqref="B1"/>
      <pageMargins left="0.25" right="0.25" top="0.5" bottom="0.5" header="0.25" footer="0.25"/>
      <pageSetup paperSize="5" scale="98" orientation="landscape" r:id="rId4"/>
      <headerFooter alignWithMargins="0"/>
    </customSheetView>
  </customSheetViews>
  <mergeCells count="6">
    <mergeCell ref="A15:A17"/>
    <mergeCell ref="B2:K2"/>
    <mergeCell ref="B3:K3"/>
    <mergeCell ref="G4:H4"/>
    <mergeCell ref="B5:E5"/>
    <mergeCell ref="G5:H5"/>
  </mergeCells>
  <pageMargins left="0.25" right="0.25" top="0.5" bottom="0.5" header="0.25" footer="0.25"/>
  <pageSetup paperSize="5" scale="98" orientation="landscape" r:id="rId5"/>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48.44140625" style="322" customWidth="1"/>
    <col min="6" max="11" width="15.6640625" style="322" customWidth="1"/>
    <col min="12" max="12" width="10.5546875" style="322" bestFit="1" customWidth="1"/>
    <col min="13" max="16384" width="9.109375" style="322"/>
  </cols>
  <sheetData>
    <row r="1" spans="1:14">
      <c r="A1" s="324"/>
      <c r="B1" s="853"/>
      <c r="C1" s="853"/>
      <c r="D1" s="853"/>
      <c r="E1" s="853"/>
      <c r="F1" s="853"/>
      <c r="G1" s="853"/>
      <c r="H1" s="853"/>
      <c r="I1" s="853"/>
      <c r="J1" s="853"/>
      <c r="K1" s="853"/>
    </row>
    <row r="2" spans="1:14" ht="20.399999999999999">
      <c r="B2" s="1596" t="s">
        <v>305</v>
      </c>
      <c r="C2" s="1596"/>
      <c r="D2" s="1596"/>
      <c r="E2" s="1596"/>
      <c r="F2" s="1596"/>
      <c r="G2" s="1596"/>
      <c r="H2" s="1596"/>
      <c r="I2" s="1596"/>
      <c r="J2" s="1596"/>
      <c r="K2" s="1596"/>
    </row>
    <row r="3" spans="1:14" ht="21" thickBot="1">
      <c r="B3" s="1596" t="s">
        <v>135</v>
      </c>
      <c r="C3" s="1596"/>
      <c r="D3" s="1596"/>
      <c r="E3" s="1596"/>
      <c r="F3" s="1596"/>
      <c r="G3" s="1596"/>
      <c r="H3" s="1596"/>
      <c r="I3" s="1596"/>
      <c r="J3" s="1596"/>
      <c r="K3" s="1596"/>
    </row>
    <row r="4" spans="1:14" ht="13.8" thickTop="1">
      <c r="B4" s="886"/>
      <c r="C4" s="886"/>
      <c r="D4" s="886"/>
      <c r="E4" s="886"/>
      <c r="F4" s="887"/>
      <c r="G4" s="1606" t="str">
        <f>"Transferred from "&amp;TEXT('KEY INPUTS'!D34,"0")</f>
        <v>Transferred from 2019</v>
      </c>
      <c r="H4" s="1607"/>
      <c r="I4" s="887"/>
      <c r="J4" s="886"/>
      <c r="K4" s="863"/>
      <c r="L4" s="792"/>
    </row>
    <row r="5" spans="1:14">
      <c r="B5" s="1597" t="s">
        <v>804</v>
      </c>
      <c r="C5" s="1597"/>
      <c r="D5" s="1597"/>
      <c r="E5" s="1598"/>
      <c r="F5" s="889" t="s">
        <v>671</v>
      </c>
      <c r="G5" s="1608" t="s">
        <v>301</v>
      </c>
      <c r="H5" s="1609"/>
      <c r="I5" s="889" t="s">
        <v>803</v>
      </c>
      <c r="J5" s="1031" t="s">
        <v>280</v>
      </c>
      <c r="K5" s="864" t="s">
        <v>671</v>
      </c>
    </row>
    <row r="6" spans="1:14">
      <c r="B6" s="853"/>
      <c r="C6" s="853"/>
      <c r="D6" s="853"/>
      <c r="E6" s="853"/>
      <c r="F6" s="892" t="str">
        <f>'KEY INPUTS'!D47</f>
        <v>Jan. 1, 2019</v>
      </c>
      <c r="G6" s="889" t="s">
        <v>676</v>
      </c>
      <c r="H6" s="889" t="s">
        <v>299</v>
      </c>
      <c r="I6" s="889"/>
      <c r="J6" s="894"/>
      <c r="K6" s="865" t="str">
        <f>'KEY INPUTS'!D46</f>
        <v>Dec. 31, 2019</v>
      </c>
    </row>
    <row r="7" spans="1:14" ht="13.8" thickBot="1">
      <c r="B7" s="895"/>
      <c r="C7" s="895"/>
      <c r="D7" s="895"/>
      <c r="E7" s="895"/>
      <c r="F7" s="896"/>
      <c r="G7" s="897"/>
      <c r="H7" s="897" t="s">
        <v>300</v>
      </c>
      <c r="I7" s="896"/>
      <c r="J7" s="898"/>
      <c r="K7" s="866"/>
    </row>
    <row r="8" spans="1:14" ht="21" customHeight="1" thickTop="1">
      <c r="B8" s="883"/>
      <c r="C8" s="1032" t="s">
        <v>3546</v>
      </c>
      <c r="D8" s="883"/>
      <c r="E8" s="1032"/>
      <c r="F8" s="900">
        <f>+'12.1-Grants Unappropriated'!F27</f>
        <v>0</v>
      </c>
      <c r="G8" s="900">
        <f>+'12.1-Grants Unappropriated'!G27</f>
        <v>0</v>
      </c>
      <c r="H8" s="900">
        <f>+'12.1-Grants Unappropriated'!H27</f>
        <v>0</v>
      </c>
      <c r="I8" s="900">
        <f>+'12.1-Grants Unappropriated'!I27</f>
        <v>0</v>
      </c>
      <c r="J8" s="900">
        <f>+'12.1-Grants Unappropriated'!J27</f>
        <v>0</v>
      </c>
      <c r="K8" s="844">
        <f>+'12.1-Grants Unappropriated'!K27</f>
        <v>0</v>
      </c>
    </row>
    <row r="9" spans="1:14" ht="21" customHeight="1">
      <c r="B9" s="566"/>
      <c r="C9" s="567"/>
      <c r="D9" s="566"/>
      <c r="E9" s="577"/>
      <c r="F9" s="374"/>
      <c r="G9" s="374"/>
      <c r="H9" s="374"/>
      <c r="I9" s="374"/>
      <c r="J9" s="374"/>
      <c r="K9" s="134">
        <f t="shared" ref="K9:K26" si="0">F9-G9-H9+I9+J9</f>
        <v>0</v>
      </c>
    </row>
    <row r="10" spans="1:14" ht="21" customHeight="1">
      <c r="B10" s="566"/>
      <c r="C10" s="666"/>
      <c r="D10" s="375"/>
      <c r="E10" s="793"/>
      <c r="F10" s="664"/>
      <c r="G10" s="664"/>
      <c r="H10" s="664"/>
      <c r="I10" s="664"/>
      <c r="J10" s="664"/>
      <c r="K10" s="134">
        <f t="shared" si="0"/>
        <v>0</v>
      </c>
    </row>
    <row r="11" spans="1:14" ht="21" customHeight="1">
      <c r="B11" s="566"/>
      <c r="C11" s="566"/>
      <c r="D11" s="566"/>
      <c r="E11" s="577"/>
      <c r="F11" s="374"/>
      <c r="G11" s="374"/>
      <c r="H11" s="374"/>
      <c r="I11" s="374"/>
      <c r="J11" s="374"/>
      <c r="K11" s="134">
        <f t="shared" si="0"/>
        <v>0</v>
      </c>
      <c r="L11" s="325"/>
    </row>
    <row r="12" spans="1:14" ht="21" customHeight="1">
      <c r="B12" s="566"/>
      <c r="C12" s="566"/>
      <c r="D12" s="566"/>
      <c r="E12" s="577"/>
      <c r="F12" s="374"/>
      <c r="G12" s="374"/>
      <c r="H12" s="374"/>
      <c r="I12" s="374"/>
      <c r="J12" s="374"/>
      <c r="K12" s="134">
        <f t="shared" si="0"/>
        <v>0</v>
      </c>
    </row>
    <row r="13" spans="1:14" ht="21" customHeight="1">
      <c r="B13" s="566"/>
      <c r="C13" s="566"/>
      <c r="D13" s="566"/>
      <c r="E13" s="577"/>
      <c r="F13" s="374"/>
      <c r="G13" s="374"/>
      <c r="H13" s="374"/>
      <c r="I13" s="374"/>
      <c r="J13" s="374"/>
      <c r="K13" s="134">
        <f t="shared" si="0"/>
        <v>0</v>
      </c>
      <c r="L13" s="325"/>
    </row>
    <row r="14" spans="1:14" ht="21" customHeight="1">
      <c r="B14" s="566"/>
      <c r="C14" s="566"/>
      <c r="D14" s="566"/>
      <c r="E14" s="577"/>
      <c r="F14" s="374"/>
      <c r="G14" s="374"/>
      <c r="H14" s="374"/>
      <c r="I14" s="374"/>
      <c r="J14" s="374"/>
      <c r="K14" s="134">
        <f t="shared" si="0"/>
        <v>0</v>
      </c>
      <c r="N14" s="377"/>
    </row>
    <row r="15" spans="1:14" ht="21" customHeight="1">
      <c r="A15" s="1577" t="s">
        <v>3612</v>
      </c>
      <c r="B15" s="566"/>
      <c r="C15" s="566"/>
      <c r="D15" s="566"/>
      <c r="E15" s="577"/>
      <c r="F15" s="374"/>
      <c r="G15" s="374"/>
      <c r="H15" s="374"/>
      <c r="I15" s="374"/>
      <c r="J15" s="374"/>
      <c r="K15" s="134">
        <f t="shared" si="0"/>
        <v>0</v>
      </c>
      <c r="L15" s="325"/>
    </row>
    <row r="16" spans="1:14" ht="21" customHeight="1">
      <c r="A16" s="1577"/>
      <c r="B16" s="566"/>
      <c r="C16" s="566"/>
      <c r="D16" s="566"/>
      <c r="E16" s="577"/>
      <c r="F16" s="374"/>
      <c r="G16" s="374"/>
      <c r="H16" s="374"/>
      <c r="I16" s="374"/>
      <c r="J16" s="374"/>
      <c r="K16" s="134">
        <f t="shared" si="0"/>
        <v>0</v>
      </c>
    </row>
    <row r="17" spans="1:12" ht="21" customHeight="1">
      <c r="A17" s="1577"/>
      <c r="B17" s="566"/>
      <c r="C17" s="566"/>
      <c r="D17" s="566"/>
      <c r="E17" s="577"/>
      <c r="F17" s="374"/>
      <c r="G17" s="374"/>
      <c r="H17" s="374"/>
      <c r="I17" s="374"/>
      <c r="J17" s="374"/>
      <c r="K17" s="134">
        <f t="shared" si="0"/>
        <v>0</v>
      </c>
      <c r="L17" s="325"/>
    </row>
    <row r="18" spans="1:12" ht="21" customHeight="1">
      <c r="B18" s="566"/>
      <c r="C18" s="566"/>
      <c r="D18" s="566"/>
      <c r="E18" s="577"/>
      <c r="F18" s="374"/>
      <c r="G18" s="374"/>
      <c r="H18" s="374"/>
      <c r="I18" s="374"/>
      <c r="J18" s="374"/>
      <c r="K18" s="134">
        <f t="shared" si="0"/>
        <v>0</v>
      </c>
    </row>
    <row r="19" spans="1:12" ht="21" customHeight="1">
      <c r="B19" s="566"/>
      <c r="C19" s="566"/>
      <c r="D19" s="566"/>
      <c r="E19" s="577"/>
      <c r="F19" s="374"/>
      <c r="G19" s="374"/>
      <c r="H19" s="374"/>
      <c r="I19" s="374"/>
      <c r="J19" s="374"/>
      <c r="K19" s="134">
        <f t="shared" si="0"/>
        <v>0</v>
      </c>
      <c r="L19" s="325"/>
    </row>
    <row r="20" spans="1:12" ht="21" customHeight="1">
      <c r="B20" s="566"/>
      <c r="C20" s="566"/>
      <c r="D20" s="566"/>
      <c r="E20" s="577"/>
      <c r="F20" s="374"/>
      <c r="G20" s="374"/>
      <c r="H20" s="374"/>
      <c r="I20" s="374"/>
      <c r="J20" s="374"/>
      <c r="K20" s="134">
        <f t="shared" si="0"/>
        <v>0</v>
      </c>
    </row>
    <row r="21" spans="1:12" ht="21" customHeight="1">
      <c r="B21" s="566"/>
      <c r="C21" s="566"/>
      <c r="D21" s="566"/>
      <c r="E21" s="577"/>
      <c r="F21" s="374"/>
      <c r="G21" s="374"/>
      <c r="H21" s="374"/>
      <c r="I21" s="374"/>
      <c r="J21" s="374"/>
      <c r="K21" s="134">
        <f t="shared" si="0"/>
        <v>0</v>
      </c>
    </row>
    <row r="22" spans="1:12" ht="21" customHeight="1">
      <c r="B22" s="566"/>
      <c r="C22" s="566"/>
      <c r="D22" s="566"/>
      <c r="E22" s="577"/>
      <c r="F22" s="374"/>
      <c r="G22" s="374"/>
      <c r="H22" s="374"/>
      <c r="I22" s="374"/>
      <c r="J22" s="374"/>
      <c r="K22" s="134">
        <f t="shared" si="0"/>
        <v>0</v>
      </c>
    </row>
    <row r="23" spans="1:12" ht="21" customHeight="1">
      <c r="B23" s="566"/>
      <c r="C23" s="566"/>
      <c r="D23" s="566"/>
      <c r="E23" s="577"/>
      <c r="F23" s="374"/>
      <c r="G23" s="374"/>
      <c r="H23" s="374"/>
      <c r="I23" s="374"/>
      <c r="J23" s="374"/>
      <c r="K23" s="134">
        <f t="shared" si="0"/>
        <v>0</v>
      </c>
      <c r="L23" s="325"/>
    </row>
    <row r="24" spans="1:12" ht="21" customHeight="1">
      <c r="B24" s="566"/>
      <c r="C24" s="566"/>
      <c r="D24" s="566"/>
      <c r="E24" s="577"/>
      <c r="F24" s="374"/>
      <c r="G24" s="374"/>
      <c r="H24" s="374"/>
      <c r="I24" s="374"/>
      <c r="J24" s="374"/>
      <c r="K24" s="134">
        <f t="shared" si="0"/>
        <v>0</v>
      </c>
    </row>
    <row r="25" spans="1:12" ht="21" customHeight="1">
      <c r="B25" s="566"/>
      <c r="C25" s="566"/>
      <c r="D25" s="566"/>
      <c r="E25" s="577"/>
      <c r="F25" s="374"/>
      <c r="G25" s="374"/>
      <c r="H25" s="374"/>
      <c r="I25" s="374"/>
      <c r="J25" s="374"/>
      <c r="K25" s="134">
        <f t="shared" si="0"/>
        <v>0</v>
      </c>
      <c r="L25" s="325"/>
    </row>
    <row r="26" spans="1:12" ht="21" customHeight="1">
      <c r="B26" s="566"/>
      <c r="C26" s="566"/>
      <c r="D26" s="566"/>
      <c r="E26" s="577"/>
      <c r="F26" s="374"/>
      <c r="G26" s="374"/>
      <c r="H26" s="374"/>
      <c r="I26" s="374"/>
      <c r="J26" s="374"/>
      <c r="K26" s="134">
        <f t="shared" si="0"/>
        <v>0</v>
      </c>
    </row>
    <row r="27" spans="1:12" ht="21" customHeight="1" thickBot="1">
      <c r="B27" s="27"/>
      <c r="C27" s="328" t="s">
        <v>3545</v>
      </c>
      <c r="D27" s="27"/>
      <c r="E27" s="41"/>
      <c r="F27" s="99">
        <f>SUM(F8:F26)</f>
        <v>0</v>
      </c>
      <c r="G27" s="99">
        <f t="shared" ref="G27:K27" si="1">SUM(G8:G26)</f>
        <v>0</v>
      </c>
      <c r="H27" s="99">
        <f t="shared" si="1"/>
        <v>0</v>
      </c>
      <c r="I27" s="99">
        <f>SUM(I8:I26)</f>
        <v>0</v>
      </c>
      <c r="J27" s="99">
        <f t="shared" si="1"/>
        <v>0</v>
      </c>
      <c r="K27" s="136">
        <f t="shared" si="1"/>
        <v>0</v>
      </c>
      <c r="L27" s="710"/>
    </row>
    <row r="28" spans="1:12" ht="13.8" thickTop="1"/>
    <row r="29" spans="1:12">
      <c r="K29" s="325"/>
    </row>
    <row r="30" spans="1:12">
      <c r="F30" s="325"/>
      <c r="G30" s="325"/>
      <c r="J30" s="325"/>
      <c r="K30" s="325"/>
    </row>
    <row r="32" spans="1:12">
      <c r="K32" s="325"/>
    </row>
  </sheetData>
  <sheetProtection password="CAF9" sheet="1" objects="1" scenarios="1"/>
  <customSheetViews>
    <customSheetView guid="{AC653BD0-46E3-42CB-9C76-32121A57B65A}" state="hidden">
      <selection activeCell="B1" sqref="B1"/>
      <pageMargins left="0.25" right="0.25" top="0.5" bottom="0.5" header="0.25" footer="0.25"/>
      <pageSetup paperSize="5" scale="98" orientation="landscape" r:id="rId1"/>
      <headerFooter alignWithMargins="0"/>
    </customSheetView>
    <customSheetView guid="{B165479B-DC25-403C-9595-F1A88A4AA9A2}" state="hidden">
      <selection activeCell="B1" sqref="B1"/>
      <pageMargins left="0.25" right="0.25" top="0.5" bottom="0.5" header="0.25" footer="0.25"/>
      <pageSetup paperSize="5" scale="98" orientation="landscape" r:id="rId2"/>
      <headerFooter alignWithMargins="0"/>
    </customSheetView>
    <customSheetView guid="{A64E4C9E-A3DA-4AAA-8607-F524450B9436}" state="hidden">
      <selection activeCell="B1" sqref="B1"/>
      <pageMargins left="0.25" right="0.25" top="0.5" bottom="0.5" header="0.25" footer="0.25"/>
      <pageSetup paperSize="5" scale="98" orientation="landscape" r:id="rId3"/>
      <headerFooter alignWithMargins="0"/>
    </customSheetView>
    <customSheetView guid="{AB4FBD91-4533-473A-9702-569FF6402073}" state="hidden">
      <selection activeCell="B1" sqref="B1"/>
      <pageMargins left="0.25" right="0.25" top="0.5" bottom="0.5" header="0.25" footer="0.25"/>
      <pageSetup paperSize="5" scale="98" orientation="landscape" r:id="rId4"/>
      <headerFooter alignWithMargins="0"/>
    </customSheetView>
  </customSheetViews>
  <mergeCells count="6">
    <mergeCell ref="A15:A17"/>
    <mergeCell ref="B2:K2"/>
    <mergeCell ref="B3:K3"/>
    <mergeCell ref="G4:H4"/>
    <mergeCell ref="B5:E5"/>
    <mergeCell ref="G5:H5"/>
  </mergeCells>
  <pageMargins left="0.25" right="0.25" top="0.5" bottom="0.5" header="0.25" footer="0.25"/>
  <pageSetup paperSize="5" scale="98" orientation="landscape" r:id="rId5"/>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pageSetUpPr fitToPage="1"/>
  </sheetPr>
  <dimension ref="A1:N32"/>
  <sheetViews>
    <sheetView zoomScaleNormal="100" workbookViewId="0">
      <selection activeCell="K28" sqref="B1:K28"/>
    </sheetView>
  </sheetViews>
  <sheetFormatPr defaultColWidth="9.109375" defaultRowHeight="13.2"/>
  <cols>
    <col min="1" max="1" width="5.6640625" style="322" customWidth="1"/>
    <col min="2" max="4" width="4.88671875" style="322" customWidth="1"/>
    <col min="5" max="5" width="48.44140625" style="322" customWidth="1"/>
    <col min="6" max="11" width="15.6640625" style="322" customWidth="1"/>
    <col min="12" max="12" width="10.5546875" style="322" bestFit="1" customWidth="1"/>
    <col min="13" max="16384" width="9.109375" style="322"/>
  </cols>
  <sheetData>
    <row r="1" spans="1:14">
      <c r="A1" s="324"/>
      <c r="B1" s="853"/>
      <c r="C1" s="853"/>
      <c r="D1" s="853"/>
      <c r="E1" s="853"/>
      <c r="F1" s="853"/>
      <c r="G1" s="853"/>
      <c r="H1" s="853"/>
      <c r="I1" s="853"/>
      <c r="J1" s="853"/>
      <c r="K1" s="853"/>
    </row>
    <row r="2" spans="1:14" ht="20.399999999999999">
      <c r="B2" s="1596" t="s">
        <v>305</v>
      </c>
      <c r="C2" s="1596"/>
      <c r="D2" s="1596"/>
      <c r="E2" s="1596"/>
      <c r="F2" s="1596"/>
      <c r="G2" s="1596"/>
      <c r="H2" s="1596"/>
      <c r="I2" s="1596"/>
      <c r="J2" s="1596"/>
      <c r="K2" s="1596"/>
    </row>
    <row r="3" spans="1:14" ht="21" thickBot="1">
      <c r="B3" s="1596" t="s">
        <v>135</v>
      </c>
      <c r="C3" s="1596"/>
      <c r="D3" s="1596"/>
      <c r="E3" s="1596"/>
      <c r="F3" s="1596"/>
      <c r="G3" s="1596"/>
      <c r="H3" s="1596"/>
      <c r="I3" s="1596"/>
      <c r="J3" s="1596"/>
      <c r="K3" s="1596"/>
    </row>
    <row r="4" spans="1:14" ht="13.8" thickTop="1">
      <c r="B4" s="886"/>
      <c r="C4" s="886"/>
      <c r="D4" s="886"/>
      <c r="E4" s="886"/>
      <c r="F4" s="887"/>
      <c r="G4" s="1606" t="str">
        <f>"Transferred from "&amp;TEXT('KEY INPUTS'!D34,"0")</f>
        <v>Transferred from 2019</v>
      </c>
      <c r="H4" s="1607"/>
      <c r="I4" s="887"/>
      <c r="J4" s="886"/>
      <c r="K4" s="863"/>
      <c r="L4" s="792"/>
    </row>
    <row r="5" spans="1:14">
      <c r="B5" s="1597" t="s">
        <v>804</v>
      </c>
      <c r="C5" s="1597"/>
      <c r="D5" s="1597"/>
      <c r="E5" s="1598"/>
      <c r="F5" s="889" t="s">
        <v>671</v>
      </c>
      <c r="G5" s="1608" t="s">
        <v>301</v>
      </c>
      <c r="H5" s="1609"/>
      <c r="I5" s="889" t="s">
        <v>803</v>
      </c>
      <c r="J5" s="1031" t="s">
        <v>280</v>
      </c>
      <c r="K5" s="864" t="s">
        <v>671</v>
      </c>
    </row>
    <row r="6" spans="1:14">
      <c r="B6" s="853"/>
      <c r="C6" s="853"/>
      <c r="D6" s="853"/>
      <c r="E6" s="853"/>
      <c r="F6" s="892" t="str">
        <f>'KEY INPUTS'!D47</f>
        <v>Jan. 1, 2019</v>
      </c>
      <c r="G6" s="889" t="s">
        <v>676</v>
      </c>
      <c r="H6" s="889" t="s">
        <v>299</v>
      </c>
      <c r="I6" s="889"/>
      <c r="J6" s="894"/>
      <c r="K6" s="865" t="str">
        <f>'KEY INPUTS'!D46</f>
        <v>Dec. 31, 2019</v>
      </c>
    </row>
    <row r="7" spans="1:14" ht="13.8" thickBot="1">
      <c r="B7" s="895"/>
      <c r="C7" s="895"/>
      <c r="D7" s="895"/>
      <c r="E7" s="895"/>
      <c r="F7" s="896"/>
      <c r="G7" s="897"/>
      <c r="H7" s="897" t="s">
        <v>300</v>
      </c>
      <c r="I7" s="896"/>
      <c r="J7" s="898"/>
      <c r="K7" s="866"/>
    </row>
    <row r="8" spans="1:14" ht="21" customHeight="1" thickTop="1">
      <c r="B8" s="883"/>
      <c r="C8" s="1032" t="s">
        <v>3546</v>
      </c>
      <c r="D8" s="883"/>
      <c r="E8" s="1032"/>
      <c r="F8" s="900">
        <f>+'12.2-Grants Unappropriated'!F27</f>
        <v>0</v>
      </c>
      <c r="G8" s="900">
        <f>+'12.2-Grants Unappropriated'!G27</f>
        <v>0</v>
      </c>
      <c r="H8" s="900">
        <f>+'12.2-Grants Unappropriated'!H27</f>
        <v>0</v>
      </c>
      <c r="I8" s="900">
        <f>+'12.2-Grants Unappropriated'!I27</f>
        <v>0</v>
      </c>
      <c r="J8" s="900">
        <f>+'12.2-Grants Unappropriated'!J27</f>
        <v>0</v>
      </c>
      <c r="K8" s="844">
        <f>+'12.2-Grants Unappropriated'!K27</f>
        <v>0</v>
      </c>
    </row>
    <row r="9" spans="1:14" ht="21" customHeight="1">
      <c r="B9" s="566"/>
      <c r="C9" s="567"/>
      <c r="D9" s="566"/>
      <c r="E9" s="577"/>
      <c r="F9" s="374"/>
      <c r="G9" s="374"/>
      <c r="H9" s="374"/>
      <c r="I9" s="374"/>
      <c r="J9" s="374"/>
      <c r="K9" s="134">
        <f t="shared" ref="K9:K26" si="0">F9-G9-H9+I9+J9</f>
        <v>0</v>
      </c>
    </row>
    <row r="10" spans="1:14" ht="21" customHeight="1">
      <c r="B10" s="566"/>
      <c r="C10" s="666" t="s">
        <v>3959</v>
      </c>
      <c r="D10" s="375"/>
      <c r="E10" s="793"/>
      <c r="F10" s="664">
        <v>12980.62</v>
      </c>
      <c r="G10" s="664">
        <v>12980.62</v>
      </c>
      <c r="H10" s="664"/>
      <c r="I10" s="664"/>
      <c r="J10" s="664"/>
      <c r="K10" s="134">
        <f t="shared" si="0"/>
        <v>0</v>
      </c>
    </row>
    <row r="11" spans="1:14" ht="21" customHeight="1">
      <c r="B11" s="566"/>
      <c r="C11" s="566"/>
      <c r="D11" s="566"/>
      <c r="E11" s="577"/>
      <c r="F11" s="374"/>
      <c r="G11" s="374"/>
      <c r="H11" s="374"/>
      <c r="I11" s="374"/>
      <c r="J11" s="374"/>
      <c r="K11" s="134">
        <f t="shared" si="0"/>
        <v>0</v>
      </c>
      <c r="L11" s="325"/>
    </row>
    <row r="12" spans="1:14" ht="21" customHeight="1">
      <c r="B12" s="566"/>
      <c r="C12" s="566"/>
      <c r="D12" s="566"/>
      <c r="E12" s="577"/>
      <c r="F12" s="374"/>
      <c r="G12" s="374"/>
      <c r="H12" s="374"/>
      <c r="I12" s="374"/>
      <c r="J12" s="374"/>
      <c r="K12" s="134">
        <f t="shared" si="0"/>
        <v>0</v>
      </c>
    </row>
    <row r="13" spans="1:14" ht="21" customHeight="1">
      <c r="B13" s="566"/>
      <c r="C13" s="566"/>
      <c r="D13" s="566"/>
      <c r="E13" s="577"/>
      <c r="F13" s="374"/>
      <c r="G13" s="374"/>
      <c r="H13" s="374"/>
      <c r="I13" s="374"/>
      <c r="J13" s="374"/>
      <c r="K13" s="134">
        <f t="shared" si="0"/>
        <v>0</v>
      </c>
      <c r="L13" s="325"/>
    </row>
    <row r="14" spans="1:14" ht="21" customHeight="1">
      <c r="B14" s="566"/>
      <c r="C14" s="566"/>
      <c r="D14" s="566"/>
      <c r="E14" s="577"/>
      <c r="F14" s="374"/>
      <c r="G14" s="374"/>
      <c r="H14" s="374"/>
      <c r="I14" s="374"/>
      <c r="J14" s="374"/>
      <c r="K14" s="134">
        <f t="shared" si="0"/>
        <v>0</v>
      </c>
      <c r="N14" s="377"/>
    </row>
    <row r="15" spans="1:14" ht="21" customHeight="1">
      <c r="A15" s="1577" t="s">
        <v>3613</v>
      </c>
      <c r="B15" s="566"/>
      <c r="C15" s="566"/>
      <c r="D15" s="566"/>
      <c r="E15" s="577"/>
      <c r="F15" s="374"/>
      <c r="G15" s="374"/>
      <c r="H15" s="374"/>
      <c r="I15" s="374"/>
      <c r="J15" s="374"/>
      <c r="K15" s="134">
        <f t="shared" si="0"/>
        <v>0</v>
      </c>
      <c r="L15" s="325"/>
    </row>
    <row r="16" spans="1:14" ht="21" customHeight="1">
      <c r="A16" s="1577"/>
      <c r="B16" s="566"/>
      <c r="C16" s="566"/>
      <c r="D16" s="566"/>
      <c r="E16" s="577"/>
      <c r="F16" s="374"/>
      <c r="G16" s="374"/>
      <c r="H16" s="374"/>
      <c r="I16" s="374"/>
      <c r="J16" s="374"/>
      <c r="K16" s="134">
        <f t="shared" si="0"/>
        <v>0</v>
      </c>
    </row>
    <row r="17" spans="1:12" ht="21" customHeight="1">
      <c r="A17" s="1577"/>
      <c r="B17" s="566"/>
      <c r="C17" s="566"/>
      <c r="D17" s="566"/>
      <c r="E17" s="577"/>
      <c r="F17" s="374"/>
      <c r="G17" s="374"/>
      <c r="H17" s="374"/>
      <c r="I17" s="374"/>
      <c r="J17" s="374"/>
      <c r="K17" s="134">
        <f t="shared" si="0"/>
        <v>0</v>
      </c>
      <c r="L17" s="325"/>
    </row>
    <row r="18" spans="1:12" ht="21" customHeight="1">
      <c r="B18" s="566"/>
      <c r="C18" s="566"/>
      <c r="D18" s="566"/>
      <c r="E18" s="577"/>
      <c r="F18" s="374"/>
      <c r="G18" s="374"/>
      <c r="H18" s="374"/>
      <c r="I18" s="374"/>
      <c r="J18" s="374"/>
      <c r="K18" s="134">
        <f t="shared" si="0"/>
        <v>0</v>
      </c>
    </row>
    <row r="19" spans="1:12" ht="21" customHeight="1">
      <c r="B19" s="566"/>
      <c r="C19" s="566"/>
      <c r="D19" s="566"/>
      <c r="E19" s="577"/>
      <c r="F19" s="374"/>
      <c r="G19" s="374"/>
      <c r="H19" s="374"/>
      <c r="I19" s="374"/>
      <c r="J19" s="374"/>
      <c r="K19" s="134">
        <f t="shared" si="0"/>
        <v>0</v>
      </c>
      <c r="L19" s="325"/>
    </row>
    <row r="20" spans="1:12" ht="21" customHeight="1">
      <c r="B20" s="566"/>
      <c r="C20" s="566"/>
      <c r="D20" s="566"/>
      <c r="E20" s="577"/>
      <c r="F20" s="374"/>
      <c r="G20" s="374"/>
      <c r="H20" s="374"/>
      <c r="I20" s="374"/>
      <c r="J20" s="374"/>
      <c r="K20" s="134">
        <f t="shared" si="0"/>
        <v>0</v>
      </c>
    </row>
    <row r="21" spans="1:12" ht="21" customHeight="1">
      <c r="B21" s="566"/>
      <c r="C21" s="566"/>
      <c r="D21" s="566"/>
      <c r="E21" s="577"/>
      <c r="F21" s="374"/>
      <c r="G21" s="374"/>
      <c r="H21" s="374"/>
      <c r="I21" s="374"/>
      <c r="J21" s="374"/>
      <c r="K21" s="134">
        <f t="shared" si="0"/>
        <v>0</v>
      </c>
    </row>
    <row r="22" spans="1:12" ht="21" customHeight="1">
      <c r="B22" s="566"/>
      <c r="C22" s="566"/>
      <c r="D22" s="566"/>
      <c r="E22" s="577"/>
      <c r="F22" s="374"/>
      <c r="G22" s="374"/>
      <c r="H22" s="374"/>
      <c r="I22" s="374"/>
      <c r="J22" s="374"/>
      <c r="K22" s="134">
        <f t="shared" si="0"/>
        <v>0</v>
      </c>
    </row>
    <row r="23" spans="1:12" ht="21" customHeight="1">
      <c r="B23" s="566"/>
      <c r="C23" s="566"/>
      <c r="D23" s="566"/>
      <c r="E23" s="577"/>
      <c r="F23" s="374"/>
      <c r="G23" s="374"/>
      <c r="H23" s="374"/>
      <c r="I23" s="374"/>
      <c r="J23" s="374"/>
      <c r="K23" s="134">
        <f t="shared" si="0"/>
        <v>0</v>
      </c>
      <c r="L23" s="325"/>
    </row>
    <row r="24" spans="1:12" ht="21" customHeight="1">
      <c r="B24" s="566"/>
      <c r="C24" s="566"/>
      <c r="D24" s="566"/>
      <c r="E24" s="577"/>
      <c r="F24" s="374"/>
      <c r="G24" s="374"/>
      <c r="H24" s="374"/>
      <c r="I24" s="374"/>
      <c r="J24" s="374"/>
      <c r="K24" s="134">
        <f t="shared" si="0"/>
        <v>0</v>
      </c>
    </row>
    <row r="25" spans="1:12" ht="21" customHeight="1">
      <c r="B25" s="566"/>
      <c r="C25" s="566"/>
      <c r="D25" s="566"/>
      <c r="E25" s="577"/>
      <c r="F25" s="374"/>
      <c r="G25" s="374"/>
      <c r="H25" s="374"/>
      <c r="I25" s="374"/>
      <c r="J25" s="374"/>
      <c r="K25" s="134">
        <f t="shared" si="0"/>
        <v>0</v>
      </c>
      <c r="L25" s="325"/>
    </row>
    <row r="26" spans="1:12" ht="21" customHeight="1">
      <c r="B26" s="566"/>
      <c r="C26" s="566"/>
      <c r="D26" s="566"/>
      <c r="E26" s="577"/>
      <c r="F26" s="374"/>
      <c r="G26" s="374"/>
      <c r="H26" s="374"/>
      <c r="I26" s="374"/>
      <c r="J26" s="374"/>
      <c r="K26" s="134">
        <f t="shared" si="0"/>
        <v>0</v>
      </c>
    </row>
    <row r="27" spans="1:12" ht="21" customHeight="1" thickBot="1">
      <c r="B27" s="27"/>
      <c r="C27" s="328" t="s">
        <v>3571</v>
      </c>
      <c r="D27" s="27"/>
      <c r="E27" s="41"/>
      <c r="F27" s="99">
        <f>SUM(F8:F26)</f>
        <v>12980.62</v>
      </c>
      <c r="G27" s="99">
        <f t="shared" ref="G27:K27" si="1">SUM(G8:G26)</f>
        <v>12980.62</v>
      </c>
      <c r="H27" s="99">
        <f t="shared" si="1"/>
        <v>0</v>
      </c>
      <c r="I27" s="99">
        <f>SUM(I8:I26)</f>
        <v>0</v>
      </c>
      <c r="J27" s="99">
        <f t="shared" si="1"/>
        <v>0</v>
      </c>
      <c r="K27" s="136">
        <f t="shared" si="1"/>
        <v>0</v>
      </c>
      <c r="L27" s="710"/>
    </row>
    <row r="28" spans="1:12" ht="13.8" thickTop="1"/>
    <row r="29" spans="1:12">
      <c r="K29" s="325"/>
    </row>
    <row r="30" spans="1:12">
      <c r="F30" s="325"/>
      <c r="G30" s="325"/>
      <c r="J30" s="325"/>
      <c r="K30" s="325"/>
    </row>
    <row r="32" spans="1:12">
      <c r="K32" s="325"/>
    </row>
  </sheetData>
  <sheetProtection password="CAF9" sheet="1" objects="1" scenarios="1"/>
  <customSheetViews>
    <customSheetView guid="{AC653BD0-46E3-42CB-9C76-32121A57B65A}">
      <selection activeCell="B1" sqref="B1"/>
      <pageMargins left="0.25" right="0.25" top="0.5" bottom="0.5" header="0.25" footer="0.25"/>
      <pageSetup paperSize="5" scale="98" orientation="landscape" r:id="rId1"/>
      <headerFooter alignWithMargins="0"/>
    </customSheetView>
    <customSheetView guid="{B165479B-DC25-403C-9595-F1A88A4AA9A2}">
      <selection activeCell="B1" sqref="B1"/>
      <pageMargins left="0.25" right="0.25" top="0.5" bottom="0.5" header="0.25" footer="0.25"/>
      <pageSetup paperSize="5" scale="98" orientation="landscape" r:id="rId2"/>
      <headerFooter alignWithMargins="0"/>
    </customSheetView>
    <customSheetView guid="{A64E4C9E-A3DA-4AAA-8607-F524450B9436}">
      <selection activeCell="B1" sqref="B1"/>
      <pageMargins left="0.25" right="0.25" top="0.5" bottom="0.5" header="0.25" footer="0.25"/>
      <pageSetup paperSize="5" scale="98" orientation="landscape" r:id="rId3"/>
      <headerFooter alignWithMargins="0"/>
    </customSheetView>
    <customSheetView guid="{AB4FBD91-4533-473A-9702-569FF6402073}">
      <selection activeCell="B1" sqref="B1"/>
      <pageMargins left="0.25" right="0.25" top="0.5" bottom="0.5" header="0.25" footer="0.25"/>
      <pageSetup paperSize="5" scale="98" orientation="landscape" r:id="rId4"/>
      <headerFooter alignWithMargins="0"/>
    </customSheetView>
  </customSheetViews>
  <mergeCells count="6">
    <mergeCell ref="A15:A17"/>
    <mergeCell ref="B2:K2"/>
    <mergeCell ref="B3:K3"/>
    <mergeCell ref="G4:H4"/>
    <mergeCell ref="B5:E5"/>
    <mergeCell ref="G5:H5"/>
  </mergeCells>
  <pageMargins left="0.25" right="0.25" top="0.5" bottom="0.5" header="0.25" footer="0.25"/>
  <pageSetup paperSize="5" orientation="landscape" r:id="rId5"/>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pageSetUpPr fitToPage="1"/>
  </sheetPr>
  <dimension ref="B5:R51"/>
  <sheetViews>
    <sheetView topLeftCell="A25" workbookViewId="0">
      <selection activeCell="B3" sqref="B3:O3"/>
    </sheetView>
  </sheetViews>
  <sheetFormatPr defaultRowHeight="13.2"/>
  <cols>
    <col min="1" max="1" width="4.6640625" customWidth="1"/>
    <col min="2" max="2" width="4.88671875" customWidth="1"/>
    <col min="3" max="4" width="4.6640625" customWidth="1"/>
    <col min="5" max="5" width="33.6640625" customWidth="1"/>
    <col min="6" max="6" width="15.6640625" customWidth="1"/>
    <col min="7" max="8" width="16.6640625" customWidth="1"/>
    <col min="9" max="9" width="12.88671875" bestFit="1" customWidth="1"/>
  </cols>
  <sheetData>
    <row r="5" spans="2:18" ht="22.8">
      <c r="B5" s="1549" t="s">
        <v>323</v>
      </c>
      <c r="C5" s="1549"/>
      <c r="D5" s="1549"/>
      <c r="E5" s="1549"/>
      <c r="F5" s="1549"/>
      <c r="G5" s="1549"/>
      <c r="H5" s="1549"/>
      <c r="I5" s="710"/>
    </row>
    <row r="6" spans="2:18" ht="13.8" thickBot="1"/>
    <row r="7" spans="2:18" ht="36" customHeight="1" thickTop="1" thickBot="1">
      <c r="B7" s="1553"/>
      <c r="C7" s="1553"/>
      <c r="D7" s="1553"/>
      <c r="E7" s="1553"/>
      <c r="F7" s="1554"/>
      <c r="G7" s="4" t="s">
        <v>125</v>
      </c>
      <c r="H7" s="3" t="s">
        <v>126</v>
      </c>
    </row>
    <row r="8" spans="2:18" ht="21" customHeight="1" thickTop="1">
      <c r="B8" s="322" t="str">
        <f>'KEY INPUTS'!D25</f>
        <v>Balance - January 1, 2019</v>
      </c>
      <c r="C8" s="322"/>
      <c r="D8" s="322"/>
      <c r="E8" s="322"/>
      <c r="F8" s="322"/>
      <c r="G8" s="166" t="s">
        <v>393</v>
      </c>
      <c r="H8" s="167" t="s">
        <v>857</v>
      </c>
    </row>
    <row r="9" spans="2:18" ht="21" customHeight="1">
      <c r="B9" s="323"/>
      <c r="C9" s="323" t="s">
        <v>324</v>
      </c>
      <c r="D9" s="323"/>
      <c r="E9" s="323"/>
      <c r="F9" s="49" t="s">
        <v>790</v>
      </c>
      <c r="G9" s="146" t="s">
        <v>393</v>
      </c>
      <c r="H9" s="768"/>
      <c r="I9" s="291"/>
    </row>
    <row r="10" spans="2:18" ht="11.25" customHeight="1">
      <c r="B10" s="7"/>
      <c r="C10" s="7" t="s">
        <v>325</v>
      </c>
      <c r="D10" s="7"/>
      <c r="E10" s="7"/>
      <c r="F10" s="52"/>
      <c r="G10" s="168"/>
      <c r="H10" s="969"/>
    </row>
    <row r="11" spans="2:18">
      <c r="B11" s="284"/>
      <c r="C11" s="284" t="str">
        <f>"(Not in excess of  50% of Levy - "&amp;TEXT('KEY INPUTS'!D35,"0")&amp;" - "&amp;TEXT('KEY INPUTS'!D34,"0")&amp;")"</f>
        <v>(Not in excess of  50% of Levy - 2018 - 2019)</v>
      </c>
      <c r="D11" s="284"/>
      <c r="E11" s="284"/>
      <c r="F11" s="53" t="s">
        <v>791</v>
      </c>
      <c r="G11" s="315" t="s">
        <v>393</v>
      </c>
      <c r="H11" s="938"/>
      <c r="I11" s="291"/>
    </row>
    <row r="12" spans="2:18" ht="21" customHeight="1">
      <c r="B12" s="323" t="str">
        <f>"Levy School Year July 1, "&amp;TEXT('KEY INPUTS'!D34,"0")&amp;" - June 30, "&amp;TEXT('KEY INPUTS'!D33,"0")</f>
        <v>Levy School Year July 1, 2019 - June 30, 2020</v>
      </c>
      <c r="C12" s="323"/>
      <c r="D12" s="323"/>
      <c r="E12" s="323"/>
      <c r="F12" s="49"/>
      <c r="G12" s="310" t="s">
        <v>393</v>
      </c>
      <c r="H12" s="578"/>
      <c r="I12" s="228"/>
      <c r="L12" s="760" t="s">
        <v>3774</v>
      </c>
      <c r="M12" s="322"/>
      <c r="N12" s="322"/>
      <c r="O12" s="322"/>
      <c r="P12" s="322"/>
      <c r="Q12" s="322"/>
      <c r="R12" s="322"/>
    </row>
    <row r="13" spans="2:18" ht="21" customHeight="1">
      <c r="B13" s="323" t="str">
        <f>"Levy Calendar Year "&amp;TEXT('KEY INPUTS'!D34,"0")</f>
        <v>Levy Calendar Year 2019</v>
      </c>
      <c r="C13" s="323"/>
      <c r="D13" s="323"/>
      <c r="E13" s="323"/>
      <c r="F13" s="49"/>
      <c r="G13" s="310" t="s">
        <v>393</v>
      </c>
      <c r="H13" s="578">
        <v>11482040</v>
      </c>
      <c r="M13" s="322"/>
      <c r="N13" s="322"/>
      <c r="O13" s="322"/>
      <c r="P13" s="322"/>
      <c r="Q13" s="322"/>
      <c r="R13" s="322"/>
    </row>
    <row r="14" spans="2:18" ht="21" customHeight="1">
      <c r="B14" s="323" t="s">
        <v>326</v>
      </c>
      <c r="C14" s="323"/>
      <c r="D14" s="323"/>
      <c r="E14" s="323"/>
      <c r="F14" s="49"/>
      <c r="G14" s="374">
        <v>11482038</v>
      </c>
      <c r="H14" s="264" t="s">
        <v>857</v>
      </c>
      <c r="M14" s="377"/>
      <c r="N14" s="322"/>
      <c r="O14" s="322"/>
      <c r="P14" s="322"/>
      <c r="Q14" s="322"/>
      <c r="R14" s="322"/>
    </row>
    <row r="15" spans="2:18" ht="21" customHeight="1">
      <c r="B15" s="323" t="str">
        <f>'KEY INPUTS'!D26</f>
        <v>Balance - December 31, 2019</v>
      </c>
      <c r="C15" s="323"/>
      <c r="D15" s="323"/>
      <c r="E15" s="323"/>
      <c r="F15" s="49"/>
      <c r="G15" s="310" t="s">
        <v>393</v>
      </c>
      <c r="H15" s="264" t="s">
        <v>857</v>
      </c>
      <c r="M15" s="322"/>
      <c r="N15" s="322"/>
      <c r="O15" s="322"/>
      <c r="P15" s="322"/>
      <c r="Q15" s="322"/>
      <c r="R15" s="322"/>
    </row>
    <row r="16" spans="2:18" ht="21" customHeight="1">
      <c r="B16" s="323"/>
      <c r="C16" s="323" t="s">
        <v>324</v>
      </c>
      <c r="D16" s="323"/>
      <c r="E16" s="323"/>
      <c r="F16" s="49" t="s">
        <v>792</v>
      </c>
      <c r="G16" s="247">
        <f>+H9+H11+H12+H13-G14-G18</f>
        <v>2</v>
      </c>
      <c r="H16" s="127" t="s">
        <v>857</v>
      </c>
      <c r="I16" s="742"/>
      <c r="M16" s="322"/>
      <c r="N16" s="322"/>
      <c r="O16" s="322"/>
      <c r="P16" s="322"/>
      <c r="Q16" s="322"/>
      <c r="R16" s="322"/>
    </row>
    <row r="17" spans="2:18" ht="11.25" customHeight="1">
      <c r="B17" s="7"/>
      <c r="C17" s="7" t="s">
        <v>325</v>
      </c>
      <c r="D17" s="7"/>
      <c r="E17" s="7"/>
      <c r="F17" s="52"/>
      <c r="G17" s="939"/>
      <c r="H17" s="73"/>
      <c r="I17" s="325"/>
      <c r="M17" s="322"/>
      <c r="N17" s="322"/>
      <c r="O17" s="322"/>
      <c r="P17" s="322"/>
      <c r="Q17" s="322"/>
      <c r="R17" s="322"/>
    </row>
    <row r="18" spans="2:18" ht="12.75" customHeight="1">
      <c r="B18" s="284"/>
      <c r="C18" s="284" t="str">
        <f>"(Not in excess of 50% of Levy - "&amp;TEXT('KEY INPUTS'!D34,"0")&amp;" - "&amp;TEXT('KEY INPUTS'!D33,"0")&amp;")"</f>
        <v>(Not in excess of 50% of Levy - 2019 - 2020)</v>
      </c>
      <c r="D18" s="284"/>
      <c r="E18" s="284"/>
      <c r="F18" s="970" t="s">
        <v>793</v>
      </c>
      <c r="G18" s="976"/>
      <c r="H18" s="128" t="s">
        <v>857</v>
      </c>
      <c r="I18" s="228"/>
      <c r="M18" s="322"/>
      <c r="N18" s="322"/>
      <c r="O18" s="322"/>
      <c r="P18" s="322"/>
      <c r="Q18" s="322"/>
      <c r="R18" s="322"/>
    </row>
    <row r="19" spans="2:18" ht="21" customHeight="1" thickBot="1">
      <c r="B19" s="43" t="s">
        <v>730</v>
      </c>
      <c r="C19" s="7"/>
      <c r="D19" s="7"/>
      <c r="E19" s="7"/>
      <c r="F19" s="7"/>
      <c r="G19" s="99">
        <f>SUM(G14:G18)</f>
        <v>11482040</v>
      </c>
      <c r="H19" s="80">
        <f>SUM(H8:H13)</f>
        <v>11482040</v>
      </c>
      <c r="I19" s="273"/>
      <c r="M19" s="322"/>
      <c r="N19" s="322"/>
      <c r="O19" s="322"/>
      <c r="P19" s="322"/>
      <c r="Q19" s="322"/>
      <c r="R19" s="322"/>
    </row>
    <row r="20" spans="2:18" ht="12.75" customHeight="1" thickTop="1">
      <c r="B20" s="42"/>
      <c r="C20" s="44" t="s">
        <v>391</v>
      </c>
      <c r="D20" s="42"/>
      <c r="E20" s="42"/>
      <c r="F20" s="42"/>
      <c r="G20" s="11"/>
      <c r="H20" s="11"/>
      <c r="M20" s="322"/>
      <c r="N20" s="322"/>
      <c r="O20" s="322"/>
      <c r="P20" s="322"/>
      <c r="Q20" s="322"/>
      <c r="R20" s="322"/>
    </row>
    <row r="21" spans="2:18" ht="12.75" customHeight="1">
      <c r="B21" s="44" t="s">
        <v>392</v>
      </c>
      <c r="C21" s="42"/>
      <c r="D21" s="42"/>
      <c r="E21" s="42"/>
      <c r="F21" s="42"/>
      <c r="G21" s="42"/>
      <c r="H21" s="42"/>
      <c r="M21" s="322"/>
      <c r="N21" s="322"/>
      <c r="O21" s="322"/>
      <c r="P21" s="322"/>
      <c r="Q21" s="322"/>
      <c r="R21" s="322"/>
    </row>
    <row r="22" spans="2:18" ht="21" customHeight="1">
      <c r="B22" s="42"/>
      <c r="C22" s="42"/>
      <c r="D22" s="42"/>
      <c r="E22" s="42"/>
      <c r="F22" s="42"/>
      <c r="G22" s="42"/>
      <c r="H22" s="42"/>
      <c r="M22" s="322"/>
      <c r="N22" s="322"/>
      <c r="O22" s="322"/>
      <c r="P22" s="322"/>
      <c r="Q22" s="322"/>
      <c r="R22" s="322"/>
    </row>
    <row r="23" spans="2:18" ht="21" customHeight="1">
      <c r="B23" s="42"/>
      <c r="C23" s="42"/>
      <c r="D23" s="42"/>
      <c r="E23" s="42"/>
      <c r="F23" s="42"/>
      <c r="G23" s="42"/>
      <c r="H23" s="42"/>
      <c r="M23" s="322"/>
      <c r="N23" s="322"/>
      <c r="O23" s="322"/>
      <c r="P23" s="322"/>
      <c r="Q23" s="322"/>
      <c r="R23" s="322"/>
    </row>
    <row r="24" spans="2:18" ht="21" customHeight="1">
      <c r="B24" s="42"/>
      <c r="C24" s="42"/>
      <c r="D24" s="42"/>
      <c r="E24" s="42"/>
      <c r="F24" s="42"/>
      <c r="G24" s="42"/>
      <c r="H24" s="42"/>
      <c r="M24" s="322"/>
      <c r="N24" s="322"/>
      <c r="O24" s="322"/>
      <c r="P24" s="322"/>
      <c r="Q24" s="322"/>
      <c r="R24" s="322"/>
    </row>
    <row r="25" spans="2:18" ht="21" customHeight="1">
      <c r="M25" s="322"/>
      <c r="N25" s="322"/>
      <c r="O25" s="322"/>
      <c r="P25" s="322"/>
      <c r="Q25" s="322"/>
      <c r="R25" s="322"/>
    </row>
    <row r="26" spans="2:18" ht="21" customHeight="1">
      <c r="B26" s="1549" t="s">
        <v>970</v>
      </c>
      <c r="C26" s="1549"/>
      <c r="D26" s="1549"/>
      <c r="E26" s="1549"/>
      <c r="F26" s="1549"/>
      <c r="G26" s="1549"/>
      <c r="H26" s="1549"/>
      <c r="M26" s="322"/>
      <c r="N26" s="322"/>
      <c r="O26" s="322"/>
      <c r="P26" s="322"/>
      <c r="Q26" s="322"/>
      <c r="R26" s="322"/>
    </row>
    <row r="27" spans="2:18" ht="21" customHeight="1" thickBot="1">
      <c r="B27" s="322"/>
      <c r="C27" s="322"/>
      <c r="D27" s="322"/>
      <c r="E27" s="322"/>
      <c r="F27" s="322"/>
      <c r="G27" s="322"/>
      <c r="H27" s="322"/>
    </row>
    <row r="28" spans="2:18" ht="30" customHeight="1" thickTop="1" thickBot="1">
      <c r="B28" s="1553"/>
      <c r="C28" s="1553"/>
      <c r="D28" s="1553"/>
      <c r="E28" s="1553"/>
      <c r="F28" s="1554"/>
      <c r="G28" s="4" t="s">
        <v>125</v>
      </c>
      <c r="H28" s="966" t="s">
        <v>126</v>
      </c>
    </row>
    <row r="29" spans="2:18" ht="21" customHeight="1" thickTop="1">
      <c r="B29" t="str">
        <f>B8</f>
        <v>Balance - January 1, 2019</v>
      </c>
      <c r="F29" s="38" t="s">
        <v>971</v>
      </c>
      <c r="G29" s="166" t="s">
        <v>393</v>
      </c>
      <c r="H29" s="582">
        <v>38994.620000000003</v>
      </c>
    </row>
    <row r="30" spans="2:18" ht="21" customHeight="1">
      <c r="B30" s="566"/>
      <c r="C30" s="566"/>
      <c r="D30" s="566"/>
      <c r="E30" s="566"/>
      <c r="F30" s="821"/>
      <c r="G30" s="683"/>
      <c r="H30" s="582"/>
    </row>
    <row r="31" spans="2:18" ht="21" customHeight="1">
      <c r="B31" s="281" t="str">
        <f>TEXT('KEY INPUTS'!D34,"0")&amp;" Levy"</f>
        <v>2019 Levy</v>
      </c>
      <c r="C31" s="5"/>
      <c r="D31" s="5"/>
      <c r="E31" s="5"/>
      <c r="F31" s="49" t="s">
        <v>416</v>
      </c>
      <c r="G31" s="146" t="s">
        <v>393</v>
      </c>
      <c r="H31" s="582">
        <f>360357.4+2330.83</f>
        <v>362688.23000000004</v>
      </c>
    </row>
    <row r="32" spans="2:18" ht="21" customHeight="1">
      <c r="B32" s="566"/>
      <c r="C32" s="566"/>
      <c r="D32" s="566"/>
      <c r="E32" s="566"/>
      <c r="F32" s="821"/>
      <c r="G32" s="683"/>
      <c r="H32" s="582"/>
    </row>
    <row r="33" spans="2:8" ht="21" customHeight="1">
      <c r="B33" s="323" t="s">
        <v>972</v>
      </c>
      <c r="C33" s="323"/>
      <c r="D33" s="323"/>
      <c r="E33" s="323"/>
      <c r="F33" s="49"/>
      <c r="G33" s="146" t="s">
        <v>393</v>
      </c>
      <c r="H33" s="582">
        <v>632.91999999999996</v>
      </c>
    </row>
    <row r="34" spans="2:8" ht="21" customHeight="1">
      <c r="B34" s="566"/>
      <c r="C34" s="566"/>
      <c r="D34" s="566"/>
      <c r="E34" s="566"/>
      <c r="F34" s="821"/>
      <c r="G34" s="575"/>
      <c r="H34" s="971"/>
    </row>
    <row r="35" spans="2:8" ht="21" customHeight="1">
      <c r="B35" s="5" t="s">
        <v>905</v>
      </c>
      <c r="C35" s="5"/>
      <c r="D35" s="5"/>
      <c r="E35" s="5"/>
      <c r="F35" s="49"/>
      <c r="G35" s="575">
        <v>365641.51</v>
      </c>
      <c r="H35" s="364" t="s">
        <v>857</v>
      </c>
    </row>
    <row r="36" spans="2:8" ht="21" customHeight="1">
      <c r="B36" s="566"/>
      <c r="C36" s="566"/>
      <c r="D36" s="566"/>
      <c r="E36" s="566"/>
      <c r="F36" s="821"/>
      <c r="G36" s="575"/>
      <c r="H36" s="971"/>
    </row>
    <row r="37" spans="2:8" ht="21" customHeight="1">
      <c r="B37" s="7" t="str">
        <f>B15</f>
        <v>Balance - December 31, 2019</v>
      </c>
      <c r="C37" s="7"/>
      <c r="D37" s="7"/>
      <c r="E37" s="7"/>
      <c r="F37" s="52" t="s">
        <v>973</v>
      </c>
      <c r="G37" s="575">
        <v>36674.26</v>
      </c>
      <c r="H37" s="364" t="s">
        <v>857</v>
      </c>
    </row>
    <row r="38" spans="2:8" ht="21" customHeight="1" thickBot="1">
      <c r="B38" s="43" t="s">
        <v>392</v>
      </c>
      <c r="C38" s="7"/>
      <c r="D38" s="7"/>
      <c r="E38" s="7"/>
      <c r="F38" s="7"/>
      <c r="G38" s="99">
        <f>SUM(G30:G37)</f>
        <v>402315.77</v>
      </c>
      <c r="H38" s="80">
        <f>SUM(H29:H36)</f>
        <v>402315.77</v>
      </c>
    </row>
    <row r="39" spans="2:8" ht="21" customHeight="1" thickTop="1">
      <c r="B39" s="42"/>
      <c r="C39" s="42"/>
      <c r="D39" s="42"/>
      <c r="E39" s="42"/>
      <c r="F39" s="42"/>
      <c r="G39" s="11"/>
      <c r="H39" s="11"/>
    </row>
    <row r="41" spans="2:8">
      <c r="B41" s="1"/>
      <c r="C41" s="1"/>
      <c r="D41" s="1"/>
      <c r="E41" s="1"/>
      <c r="F41" s="1"/>
      <c r="G41" s="1"/>
      <c r="H41" s="1"/>
    </row>
    <row r="42" spans="2:8">
      <c r="B42" s="1"/>
      <c r="C42" s="1"/>
      <c r="D42" s="1"/>
      <c r="E42" s="1"/>
      <c r="F42" s="1"/>
      <c r="G42" s="1"/>
      <c r="H42" s="1"/>
    </row>
    <row r="43" spans="2:8">
      <c r="B43" s="1"/>
      <c r="C43" s="1"/>
      <c r="D43" s="1"/>
      <c r="E43" s="1"/>
      <c r="F43" s="1"/>
      <c r="G43" s="1"/>
      <c r="H43" s="1"/>
    </row>
    <row r="44" spans="2:8">
      <c r="B44" s="1"/>
      <c r="C44" s="1"/>
      <c r="D44" s="1"/>
      <c r="E44" s="1"/>
      <c r="F44" s="1"/>
      <c r="G44" s="1"/>
      <c r="H44" s="1"/>
    </row>
    <row r="45" spans="2:8">
      <c r="B45" s="1"/>
      <c r="C45" s="1"/>
      <c r="D45" s="1"/>
      <c r="E45" s="1"/>
      <c r="F45" s="1"/>
      <c r="G45" s="1"/>
      <c r="H45" s="1"/>
    </row>
    <row r="46" spans="2:8">
      <c r="B46" s="1"/>
      <c r="C46" s="1"/>
      <c r="D46" s="1"/>
      <c r="E46" s="1"/>
      <c r="F46" s="1"/>
      <c r="G46" s="1"/>
      <c r="H46" s="1"/>
    </row>
    <row r="47" spans="2:8">
      <c r="B47" s="1"/>
      <c r="C47" s="1"/>
      <c r="D47" s="1"/>
      <c r="E47" s="1"/>
      <c r="F47" s="1"/>
      <c r="G47" s="1"/>
      <c r="H47" s="1"/>
    </row>
    <row r="48" spans="2:8">
      <c r="B48" s="1"/>
      <c r="C48" s="1"/>
      <c r="D48" s="1"/>
      <c r="E48" s="1"/>
      <c r="F48" s="1"/>
      <c r="G48" s="1"/>
      <c r="H48" s="1"/>
    </row>
    <row r="49" spans="2:8">
      <c r="B49" s="1"/>
      <c r="C49" s="1"/>
      <c r="D49" s="1"/>
      <c r="E49" s="1"/>
      <c r="F49" s="1"/>
      <c r="G49" s="1"/>
      <c r="H49" s="1"/>
    </row>
    <row r="51" spans="2:8" ht="13.8">
      <c r="B51" s="1507" t="s">
        <v>327</v>
      </c>
      <c r="C51" s="1507"/>
      <c r="D51" s="1507"/>
      <c r="E51" s="1507"/>
      <c r="F51" s="1507"/>
      <c r="G51" s="1507"/>
      <c r="H51" s="1507"/>
    </row>
  </sheetData>
  <sheetProtection algorithmName="SHA-512" hashValue="/4FZmday8DOV2pAE1ECyFfRgI5u/sl8wXJLQjZxSiq4KklUi4CU96AmR4b3e9YHSLKeiaRyeeUj2w0Lr6TSDdg==" saltValue="7OM9wkVVXgG/rmyAvE6LCA==" spinCount="100000" sheet="1" objects="1" scenarios="1"/>
  <customSheetViews>
    <customSheetView guid="{AC653BD0-46E3-42CB-9C76-32121A57B65A}">
      <selection activeCell="G18" sqref="G18"/>
      <pageMargins left="0.25" right="0.25" top="0.5" bottom="0.5" header="0.25" footer="0.25"/>
      <pageSetup paperSize="5" orientation="portrait" r:id="rId1"/>
      <headerFooter alignWithMargins="0"/>
    </customSheetView>
    <customSheetView guid="{B165479B-DC25-403C-9595-F1A88A4AA9A2}" topLeftCell="A22">
      <selection activeCell="B33" sqref="B33"/>
      <pageMargins left="0.25" right="0.25" top="0.5" bottom="0.5" header="0.25" footer="0.25"/>
      <pageSetup paperSize="5" orientation="portrait" r:id="rId2"/>
      <headerFooter alignWithMargins="0"/>
    </customSheetView>
    <customSheetView guid="{A64E4C9E-A3DA-4AAA-8607-F524450B9436}" topLeftCell="A22">
      <selection activeCell="B33" sqref="B33"/>
      <pageMargins left="0.25" right="0.25" top="0.5" bottom="0.5" header="0.25" footer="0.25"/>
      <pageSetup paperSize="5" orientation="portrait" r:id="rId3"/>
      <headerFooter alignWithMargins="0"/>
    </customSheetView>
    <customSheetView guid="{AB4FBD91-4533-473A-9702-569FF6402073}" topLeftCell="A25">
      <selection activeCell="B33" sqref="B33"/>
      <pageMargins left="0.25" right="0.25" top="0.5" bottom="0.5" header="0.25" footer="0.25"/>
      <pageSetup paperSize="5" orientation="portrait" r:id="rId4"/>
      <headerFooter alignWithMargins="0"/>
    </customSheetView>
  </customSheetViews>
  <mergeCells count="5">
    <mergeCell ref="B7:F7"/>
    <mergeCell ref="B51:H51"/>
    <mergeCell ref="B5:H5"/>
    <mergeCell ref="B26:H26"/>
    <mergeCell ref="B28:F28"/>
  </mergeCells>
  <phoneticPr fontId="0" type="noConversion"/>
  <pageMargins left="0.25" right="0.25" top="0.5" bottom="0.5" header="0.25" footer="0.25"/>
  <pageSetup paperSize="5" orientation="portrait" r:id="rId5"/>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pageSetUpPr fitToPage="1"/>
  </sheetPr>
  <dimension ref="B5:P52"/>
  <sheetViews>
    <sheetView topLeftCell="A40" zoomScaleNormal="100" workbookViewId="0">
      <selection activeCell="B3" sqref="B3:O3"/>
    </sheetView>
  </sheetViews>
  <sheetFormatPr defaultRowHeight="13.2"/>
  <cols>
    <col min="1" max="1" width="4.6640625" customWidth="1"/>
    <col min="2" max="2" width="4.88671875" customWidth="1"/>
    <col min="3" max="4" width="4.6640625" customWidth="1"/>
    <col min="5" max="5" width="33.6640625" customWidth="1"/>
    <col min="6" max="6" width="15.6640625" customWidth="1"/>
    <col min="7" max="8" width="16.6640625" customWidth="1"/>
    <col min="9" max="9" width="13.88671875" bestFit="1" customWidth="1"/>
    <col min="10" max="10" width="12.88671875" bestFit="1" customWidth="1"/>
    <col min="11" max="11" width="10.33203125" bestFit="1" customWidth="1"/>
  </cols>
  <sheetData>
    <row r="5" spans="2:16" ht="22.8">
      <c r="B5" s="1549" t="s">
        <v>858</v>
      </c>
      <c r="C5" s="1549"/>
      <c r="D5" s="1549"/>
      <c r="E5" s="1549"/>
      <c r="F5" s="1549"/>
      <c r="G5" s="1549"/>
      <c r="H5" s="1549"/>
      <c r="I5" s="710"/>
    </row>
    <row r="6" spans="2:16" ht="13.5" customHeight="1">
      <c r="B6" s="1613" t="s">
        <v>859</v>
      </c>
      <c r="C6" s="1613"/>
      <c r="D6" s="1613"/>
      <c r="E6" s="1613"/>
      <c r="F6" s="1613"/>
      <c r="G6" s="1613"/>
      <c r="H6" s="1613"/>
    </row>
    <row r="7" spans="2:16" ht="13.8" thickBot="1"/>
    <row r="8" spans="2:16" ht="36" customHeight="1" thickTop="1" thickBot="1">
      <c r="B8" s="1553"/>
      <c r="C8" s="1553"/>
      <c r="D8" s="1553"/>
      <c r="E8" s="1553"/>
      <c r="F8" s="1554"/>
      <c r="G8" s="4" t="s">
        <v>125</v>
      </c>
      <c r="H8" s="3" t="s">
        <v>126</v>
      </c>
    </row>
    <row r="9" spans="2:16" ht="21" customHeight="1" thickTop="1">
      <c r="B9" s="322" t="str">
        <f>'13-Other Taxes'!B8</f>
        <v>Balance - January 1, 2019</v>
      </c>
      <c r="C9" s="322"/>
      <c r="D9" s="322"/>
      <c r="E9" s="322"/>
      <c r="F9" s="322"/>
      <c r="G9" s="166" t="s">
        <v>393</v>
      </c>
      <c r="H9" s="167" t="s">
        <v>857</v>
      </c>
    </row>
    <row r="10" spans="2:16" ht="21" customHeight="1">
      <c r="B10" s="323"/>
      <c r="C10" s="323" t="s">
        <v>324</v>
      </c>
      <c r="D10" s="323"/>
      <c r="E10" s="323"/>
      <c r="F10" s="49" t="s">
        <v>794</v>
      </c>
      <c r="G10" s="146" t="s">
        <v>393</v>
      </c>
      <c r="H10" s="578"/>
      <c r="K10" s="322"/>
      <c r="L10" s="322"/>
      <c r="M10" s="322"/>
      <c r="N10" s="322"/>
      <c r="O10" s="322"/>
      <c r="P10" s="322"/>
    </row>
    <row r="11" spans="2:16" ht="11.25" customHeight="1">
      <c r="B11" s="7"/>
      <c r="C11" s="7" t="s">
        <v>325</v>
      </c>
      <c r="D11" s="7"/>
      <c r="E11" s="7"/>
      <c r="F11" s="52"/>
      <c r="G11" s="168"/>
      <c r="H11" s="969"/>
      <c r="K11" s="322"/>
      <c r="L11" s="322"/>
      <c r="M11" s="322"/>
      <c r="N11" s="322"/>
      <c r="O11" s="322"/>
      <c r="P11" s="322"/>
    </row>
    <row r="12" spans="2:16">
      <c r="B12" s="284"/>
      <c r="C12" s="284" t="str">
        <f>'13-Other Taxes'!C11</f>
        <v>(Not in excess of  50% of Levy - 2018 - 2019)</v>
      </c>
      <c r="D12" s="284"/>
      <c r="E12" s="284"/>
      <c r="F12" s="53" t="s">
        <v>795</v>
      </c>
      <c r="G12" s="158" t="s">
        <v>393</v>
      </c>
      <c r="H12" s="938"/>
      <c r="K12" s="377"/>
      <c r="L12" s="322"/>
      <c r="M12" s="322"/>
      <c r="N12" s="322"/>
      <c r="O12" s="322"/>
      <c r="P12" s="322"/>
    </row>
    <row r="13" spans="2:16" ht="21" customHeight="1">
      <c r="B13" s="323" t="str">
        <f>'13-Other Taxes'!B12</f>
        <v>Levy School Year July 1, 2019 - June 30, 2020</v>
      </c>
      <c r="C13" s="323"/>
      <c r="D13" s="323"/>
      <c r="E13" s="323"/>
      <c r="F13" s="49"/>
      <c r="G13" s="146" t="s">
        <v>393</v>
      </c>
      <c r="H13" s="578"/>
      <c r="K13" s="322"/>
      <c r="L13" s="322"/>
      <c r="M13" s="322"/>
      <c r="N13" s="322"/>
      <c r="O13" s="322"/>
      <c r="P13" s="322"/>
    </row>
    <row r="14" spans="2:16" ht="21" customHeight="1">
      <c r="B14" s="323" t="str">
        <f>'13-Other Taxes'!B13</f>
        <v>Levy Calendar Year 2019</v>
      </c>
      <c r="C14" s="323"/>
      <c r="D14" s="323"/>
      <c r="E14" s="323"/>
      <c r="F14" s="49"/>
      <c r="G14" s="146" t="s">
        <v>393</v>
      </c>
      <c r="H14" s="578"/>
      <c r="K14" s="322"/>
      <c r="L14" s="760" t="s">
        <v>3774</v>
      </c>
      <c r="M14" s="322"/>
      <c r="N14" s="322"/>
      <c r="O14" s="322"/>
      <c r="P14" s="322"/>
    </row>
    <row r="15" spans="2:16" ht="21" customHeight="1">
      <c r="B15" s="323" t="s">
        <v>326</v>
      </c>
      <c r="C15" s="323"/>
      <c r="D15" s="323"/>
      <c r="E15" s="323"/>
      <c r="F15" s="49"/>
      <c r="G15" s="374"/>
      <c r="H15" s="127" t="s">
        <v>857</v>
      </c>
      <c r="K15" s="322"/>
      <c r="L15" s="322"/>
      <c r="M15" s="322"/>
      <c r="N15" s="322"/>
      <c r="O15" s="322"/>
      <c r="P15" s="322"/>
    </row>
    <row r="16" spans="2:16" ht="21" customHeight="1">
      <c r="B16" s="323" t="str">
        <f>'13-Other Taxes'!B15</f>
        <v>Balance - December 31, 2019</v>
      </c>
      <c r="C16" s="323"/>
      <c r="D16" s="323"/>
      <c r="E16" s="323"/>
      <c r="F16" s="49"/>
      <c r="G16" s="973" t="s">
        <v>393</v>
      </c>
      <c r="H16" s="127" t="s">
        <v>857</v>
      </c>
      <c r="K16" s="322"/>
      <c r="L16" s="322"/>
      <c r="M16" s="322"/>
      <c r="N16" s="322"/>
      <c r="O16" s="322"/>
      <c r="P16" s="322"/>
    </row>
    <row r="17" spans="2:16" ht="21" customHeight="1">
      <c r="B17" s="323"/>
      <c r="C17" s="323" t="s">
        <v>324</v>
      </c>
      <c r="D17" s="323"/>
      <c r="E17" s="323"/>
      <c r="F17" s="49" t="s">
        <v>727</v>
      </c>
      <c r="G17" s="842">
        <f>+H10+H12+H13+H14-G15-G19</f>
        <v>0</v>
      </c>
      <c r="H17" s="127" t="s">
        <v>857</v>
      </c>
      <c r="K17" s="322"/>
      <c r="L17" s="322"/>
      <c r="M17" s="322"/>
      <c r="N17" s="322"/>
      <c r="O17" s="322"/>
      <c r="P17" s="322"/>
    </row>
    <row r="18" spans="2:16" ht="11.25" customHeight="1">
      <c r="B18" s="7"/>
      <c r="C18" s="7" t="s">
        <v>325</v>
      </c>
      <c r="D18" s="7"/>
      <c r="E18" s="7"/>
      <c r="F18" s="52"/>
      <c r="G18" s="974"/>
      <c r="H18" s="73"/>
      <c r="K18" s="322"/>
      <c r="L18" s="322"/>
      <c r="M18" s="322"/>
      <c r="N18" s="322"/>
      <c r="O18" s="322"/>
      <c r="P18" s="322"/>
    </row>
    <row r="19" spans="2:16" ht="12.75" customHeight="1">
      <c r="B19" s="284"/>
      <c r="C19" s="284" t="str">
        <f>'13-Other Taxes'!C18</f>
        <v>(Not in excess of 50% of Levy - 2019 - 2020)</v>
      </c>
      <c r="D19" s="284"/>
      <c r="E19" s="284"/>
      <c r="F19" s="53" t="s">
        <v>728</v>
      </c>
      <c r="G19" s="976"/>
      <c r="H19" s="128" t="s">
        <v>857</v>
      </c>
      <c r="K19" s="322"/>
      <c r="L19" s="322"/>
      <c r="M19" s="322"/>
      <c r="N19" s="322"/>
      <c r="O19" s="322"/>
      <c r="P19" s="322"/>
    </row>
    <row r="20" spans="2:16" ht="21" customHeight="1" thickBot="1">
      <c r="B20" s="44" t="s">
        <v>392</v>
      </c>
      <c r="C20" s="7"/>
      <c r="D20" s="7"/>
      <c r="E20" s="7"/>
      <c r="F20" s="7"/>
      <c r="G20" s="99">
        <f>SUM(G15:G19)</f>
        <v>0</v>
      </c>
      <c r="H20" s="80">
        <f>SUM(H9:H19)</f>
        <v>0</v>
      </c>
      <c r="K20" s="322"/>
      <c r="L20" s="322"/>
      <c r="M20" s="322"/>
      <c r="N20" s="322"/>
      <c r="O20" s="322"/>
      <c r="P20" s="322"/>
    </row>
    <row r="21" spans="2:16" ht="12.75" customHeight="1" thickTop="1">
      <c r="B21" s="42"/>
      <c r="C21" s="44"/>
      <c r="D21" s="42"/>
      <c r="E21" s="42"/>
      <c r="F21" s="42"/>
      <c r="G21" s="11"/>
      <c r="H21" s="11"/>
      <c r="K21" s="322"/>
      <c r="L21" s="322"/>
      <c r="M21" s="322"/>
      <c r="N21" s="322"/>
      <c r="O21" s="322"/>
      <c r="P21" s="322"/>
    </row>
    <row r="22" spans="2:16" ht="12.75" customHeight="1">
      <c r="B22" s="44"/>
      <c r="C22" s="42"/>
      <c r="D22" s="42"/>
      <c r="E22" s="42"/>
      <c r="F22" s="42"/>
      <c r="G22" s="42"/>
      <c r="H22" s="42"/>
      <c r="K22" s="322"/>
      <c r="L22" s="322"/>
      <c r="M22" s="322"/>
      <c r="N22" s="322"/>
      <c r="O22" s="322"/>
      <c r="P22" s="322"/>
    </row>
    <row r="23" spans="2:16" ht="21" customHeight="1">
      <c r="B23" s="42"/>
      <c r="C23" s="42"/>
      <c r="D23" s="42"/>
      <c r="E23" s="42"/>
      <c r="F23" s="42"/>
      <c r="G23" s="42"/>
      <c r="H23" s="42"/>
      <c r="K23" s="322"/>
      <c r="L23" s="322"/>
      <c r="M23" s="322"/>
      <c r="N23" s="322"/>
      <c r="O23" s="322"/>
      <c r="P23" s="322"/>
    </row>
    <row r="24" spans="2:16" ht="21" customHeight="1">
      <c r="B24" s="42"/>
      <c r="C24" s="42"/>
      <c r="D24" s="42"/>
      <c r="E24" s="42"/>
      <c r="F24" s="42"/>
      <c r="G24" s="42"/>
      <c r="H24" s="42"/>
      <c r="K24" s="322"/>
      <c r="L24" s="322"/>
      <c r="M24" s="322"/>
      <c r="N24" s="322"/>
      <c r="O24" s="322"/>
      <c r="P24" s="322"/>
    </row>
    <row r="25" spans="2:16" ht="21" customHeight="1">
      <c r="B25" s="42"/>
      <c r="C25" s="42"/>
      <c r="D25" s="42"/>
      <c r="E25" s="42"/>
      <c r="F25" s="42"/>
      <c r="G25" s="42"/>
      <c r="H25" s="42"/>
    </row>
    <row r="26" spans="2:16" ht="21" customHeight="1"/>
    <row r="27" spans="2:16" ht="21" customHeight="1">
      <c r="B27" s="1549" t="s">
        <v>860</v>
      </c>
      <c r="C27" s="1549"/>
      <c r="D27" s="1549"/>
      <c r="E27" s="1549"/>
      <c r="F27" s="1549"/>
      <c r="G27" s="1549"/>
      <c r="H27" s="1549"/>
    </row>
    <row r="28" spans="2:16" ht="21" customHeight="1" thickBot="1"/>
    <row r="29" spans="2:16" ht="30" customHeight="1" thickTop="1" thickBot="1">
      <c r="B29" s="1553"/>
      <c r="C29" s="1553"/>
      <c r="D29" s="1553"/>
      <c r="E29" s="1553"/>
      <c r="F29" s="1554"/>
      <c r="G29" s="4" t="s">
        <v>125</v>
      </c>
      <c r="H29" s="3" t="s">
        <v>126</v>
      </c>
    </row>
    <row r="30" spans="2:16" ht="21" customHeight="1" thickTop="1">
      <c r="B30" s="322" t="str">
        <f>B9</f>
        <v>Balance - January 1, 2019</v>
      </c>
      <c r="C30" s="322"/>
      <c r="D30" s="322"/>
      <c r="E30" s="322"/>
      <c r="F30" s="322"/>
      <c r="G30" s="166" t="s">
        <v>393</v>
      </c>
      <c r="H30" s="167" t="s">
        <v>857</v>
      </c>
    </row>
    <row r="31" spans="2:16" ht="21" customHeight="1">
      <c r="B31" s="323"/>
      <c r="C31" s="323" t="s">
        <v>324</v>
      </c>
      <c r="D31" s="323"/>
      <c r="E31" s="323"/>
      <c r="F31" s="49" t="s">
        <v>729</v>
      </c>
      <c r="G31" s="146" t="s">
        <v>393</v>
      </c>
      <c r="H31" s="578"/>
    </row>
    <row r="32" spans="2:16" ht="11.25" customHeight="1">
      <c r="B32" s="7"/>
      <c r="C32" s="7" t="s">
        <v>325</v>
      </c>
      <c r="D32" s="7"/>
      <c r="E32" s="7"/>
      <c r="F32" s="52"/>
      <c r="G32" s="316"/>
      <c r="H32" s="969"/>
    </row>
    <row r="33" spans="2:12" ht="12.75" customHeight="1">
      <c r="B33" s="284"/>
      <c r="C33" s="284" t="str">
        <f>C12</f>
        <v>(Not in excess of  50% of Levy - 2018 - 2019)</v>
      </c>
      <c r="D33" s="284"/>
      <c r="E33" s="284"/>
      <c r="F33" s="53" t="s">
        <v>208</v>
      </c>
      <c r="G33" s="315" t="s">
        <v>393</v>
      </c>
      <c r="H33" s="938"/>
    </row>
    <row r="34" spans="2:12" ht="21" customHeight="1">
      <c r="B34" s="323" t="str">
        <f>B13</f>
        <v>Levy School Year July 1, 2019 - June 30, 2020</v>
      </c>
      <c r="C34" s="323"/>
      <c r="D34" s="323"/>
      <c r="E34" s="323"/>
      <c r="F34" s="49"/>
      <c r="G34" s="310" t="s">
        <v>393</v>
      </c>
      <c r="H34" s="578"/>
      <c r="K34" s="228"/>
    </row>
    <row r="35" spans="2:12" ht="21" customHeight="1">
      <c r="B35" s="323" t="str">
        <f>B14</f>
        <v>Levy Calendar Year 2019</v>
      </c>
      <c r="C35" s="323"/>
      <c r="D35" s="323"/>
      <c r="E35" s="323"/>
      <c r="F35" s="49"/>
      <c r="G35" s="310" t="s">
        <v>393</v>
      </c>
      <c r="H35" s="578">
        <v>7374104</v>
      </c>
      <c r="L35" s="760" t="s">
        <v>3774</v>
      </c>
    </row>
    <row r="36" spans="2:12" ht="21" customHeight="1">
      <c r="B36" s="323" t="s">
        <v>326</v>
      </c>
      <c r="C36" s="323"/>
      <c r="D36" s="323"/>
      <c r="E36" s="323"/>
      <c r="F36" s="49"/>
      <c r="G36" s="374">
        <v>7374104</v>
      </c>
      <c r="H36" s="264" t="s">
        <v>857</v>
      </c>
    </row>
    <row r="37" spans="2:12" ht="21" customHeight="1">
      <c r="B37" s="323" t="str">
        <f>B16</f>
        <v>Balance - December 31, 2019</v>
      </c>
      <c r="C37" s="323"/>
      <c r="D37" s="323"/>
      <c r="E37" s="323"/>
      <c r="F37" s="49"/>
      <c r="G37" s="310" t="s">
        <v>393</v>
      </c>
      <c r="H37" s="264" t="s">
        <v>857</v>
      </c>
    </row>
    <row r="38" spans="2:12" ht="21" customHeight="1">
      <c r="B38" s="323"/>
      <c r="C38" s="323" t="s">
        <v>324</v>
      </c>
      <c r="D38" s="323"/>
      <c r="E38" s="323"/>
      <c r="F38" s="49" t="s">
        <v>209</v>
      </c>
      <c r="G38" s="975">
        <f>+H31+H33+H34+H35-G36-G40</f>
        <v>0</v>
      </c>
      <c r="H38" s="127" t="s">
        <v>857</v>
      </c>
    </row>
    <row r="39" spans="2:12" ht="11.25" customHeight="1">
      <c r="B39" s="7"/>
      <c r="C39" s="7" t="s">
        <v>325</v>
      </c>
      <c r="D39" s="7"/>
      <c r="E39" s="7"/>
      <c r="F39" s="52"/>
      <c r="G39" s="974"/>
      <c r="H39" s="169"/>
    </row>
    <row r="40" spans="2:12" ht="12.75" customHeight="1">
      <c r="B40" s="284"/>
      <c r="C40" s="284" t="str">
        <f>C19</f>
        <v>(Not in excess of 50% of Levy - 2019 - 2020)</v>
      </c>
      <c r="D40" s="284"/>
      <c r="E40" s="284"/>
      <c r="F40" s="53" t="s">
        <v>210</v>
      </c>
      <c r="G40" s="976"/>
      <c r="H40" s="128" t="s">
        <v>857</v>
      </c>
    </row>
    <row r="41" spans="2:12" ht="21" customHeight="1" thickBot="1">
      <c r="B41" s="43" t="s">
        <v>392</v>
      </c>
      <c r="C41" s="7"/>
      <c r="D41" s="7"/>
      <c r="E41" s="7"/>
      <c r="F41" s="7"/>
      <c r="G41" s="99">
        <f>SUM(G34:G40)</f>
        <v>7374104</v>
      </c>
      <c r="H41" s="80">
        <f>SUM(H30:H40)</f>
        <v>7374104</v>
      </c>
    </row>
    <row r="42" spans="2:12" ht="21" customHeight="1" thickTop="1">
      <c r="B42" s="42"/>
      <c r="C42" s="42"/>
      <c r="D42" s="42"/>
      <c r="E42" s="42"/>
      <c r="F42" s="42"/>
      <c r="G42" s="11"/>
      <c r="H42" s="11"/>
    </row>
    <row r="44" spans="2:12">
      <c r="B44" s="1"/>
      <c r="C44" s="1"/>
      <c r="D44" s="1"/>
      <c r="E44" s="1"/>
      <c r="F44" s="1"/>
      <c r="G44" s="1"/>
      <c r="H44" s="1"/>
    </row>
    <row r="45" spans="2:12">
      <c r="B45" s="1"/>
      <c r="C45" s="1"/>
      <c r="D45" s="1"/>
      <c r="E45" s="1"/>
      <c r="F45" s="1"/>
      <c r="G45" s="1"/>
      <c r="H45" s="1"/>
    </row>
    <row r="46" spans="2:12">
      <c r="B46" s="1"/>
      <c r="C46" s="1"/>
      <c r="D46" s="1"/>
      <c r="E46" s="1"/>
      <c r="F46" s="1"/>
      <c r="G46" s="1"/>
      <c r="H46" s="1"/>
    </row>
    <row r="47" spans="2:12">
      <c r="B47" s="1"/>
      <c r="C47" s="1"/>
      <c r="D47" s="1"/>
      <c r="E47" s="1"/>
      <c r="F47" s="1"/>
      <c r="G47" s="1"/>
      <c r="H47" s="1"/>
    </row>
    <row r="48" spans="2:12">
      <c r="B48" s="1"/>
      <c r="C48" s="1"/>
      <c r="D48" s="1"/>
      <c r="E48" s="1"/>
      <c r="F48" s="1"/>
      <c r="G48" s="1"/>
      <c r="H48" s="1"/>
    </row>
    <row r="49" spans="2:8">
      <c r="B49" s="1"/>
      <c r="C49" s="1"/>
      <c r="D49" s="1"/>
      <c r="E49" s="1"/>
      <c r="F49" s="1"/>
      <c r="G49" s="1"/>
      <c r="H49" s="1"/>
    </row>
    <row r="50" spans="2:8">
      <c r="B50" s="1"/>
      <c r="C50" s="1"/>
      <c r="D50" s="1"/>
      <c r="E50" s="1"/>
      <c r="F50" s="1"/>
      <c r="G50" s="1"/>
      <c r="H50" s="1"/>
    </row>
    <row r="52" spans="2:8" ht="13.8">
      <c r="B52" s="1507" t="s">
        <v>861</v>
      </c>
      <c r="C52" s="1507"/>
      <c r="D52" s="1507"/>
      <c r="E52" s="1507"/>
      <c r="F52" s="1507"/>
      <c r="G52" s="1507"/>
      <c r="H52" s="1507"/>
    </row>
  </sheetData>
  <sheetProtection algorithmName="SHA-512" hashValue="7Fe2MGEOx0yLIldnytsoWgqj07l2RnZaRIpgUDbTAcN5q945QcVD+fjAtkufYcPxyzZbhG+CLFPMMmrL0V8tbA==" saltValue="W5yTLBj8hYznQiw1SSdyqg==" spinCount="100000" sheet="1" objects="1" scenarios="1"/>
  <customSheetViews>
    <customSheetView guid="{AC653BD0-46E3-42CB-9C76-32121A57B65A}" topLeftCell="A13">
      <selection activeCell="G40" sqref="G40"/>
      <pageMargins left="0.25" right="0.25" top="0.5" bottom="0.5" header="0.25" footer="0.25"/>
      <pageSetup paperSize="5" orientation="portrait" r:id="rId1"/>
      <headerFooter alignWithMargins="0"/>
    </customSheetView>
    <customSheetView guid="{B165479B-DC25-403C-9595-F1A88A4AA9A2}">
      <selection activeCell="I38" sqref="I38"/>
      <pageMargins left="0.25" right="0.25" top="0.5" bottom="0.5" header="0.25" footer="0.25"/>
      <pageSetup paperSize="5" orientation="portrait" r:id="rId2"/>
      <headerFooter alignWithMargins="0"/>
    </customSheetView>
    <customSheetView guid="{A64E4C9E-A3DA-4AAA-8607-F524450B9436}">
      <selection activeCell="I38" sqref="I38"/>
      <pageMargins left="0.25" right="0.25" top="0.5" bottom="0.5" header="0.25" footer="0.25"/>
      <pageSetup paperSize="5" orientation="portrait" r:id="rId3"/>
      <headerFooter alignWithMargins="0"/>
    </customSheetView>
    <customSheetView guid="{AB4FBD91-4533-473A-9702-569FF6402073}" topLeftCell="A25">
      <selection activeCell="I38" sqref="I38"/>
      <pageMargins left="0.25" right="0.25" top="0.5" bottom="0.5" header="0.25" footer="0.25"/>
      <pageSetup paperSize="5" orientation="portrait" r:id="rId4"/>
      <headerFooter alignWithMargins="0"/>
    </customSheetView>
  </customSheetViews>
  <mergeCells count="6">
    <mergeCell ref="B8:F8"/>
    <mergeCell ref="B52:H52"/>
    <mergeCell ref="B5:H5"/>
    <mergeCell ref="B27:H27"/>
    <mergeCell ref="B29:F29"/>
    <mergeCell ref="B6:H6"/>
  </mergeCells>
  <phoneticPr fontId="0" type="noConversion"/>
  <pageMargins left="0.25" right="0.25" top="0.5" bottom="0.5" header="0.25" footer="0.25"/>
  <pageSetup paperSize="5" orientation="portrait" r:id="rId5"/>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pageSetUpPr fitToPage="1"/>
  </sheetPr>
  <dimension ref="B3:S47"/>
  <sheetViews>
    <sheetView topLeftCell="A43" workbookViewId="0">
      <selection activeCell="B3" sqref="B3:O3"/>
    </sheetView>
  </sheetViews>
  <sheetFormatPr defaultRowHeight="13.2"/>
  <cols>
    <col min="1" max="1" width="4.6640625" customWidth="1"/>
    <col min="2" max="2" width="4.88671875" customWidth="1"/>
    <col min="3" max="6" width="4.6640625" customWidth="1"/>
    <col min="7" max="7" width="23.6640625" customWidth="1"/>
    <col min="8" max="8" width="15.6640625" customWidth="1"/>
    <col min="9" max="10" width="16.6640625" customWidth="1"/>
    <col min="11" max="11" width="10.109375" bestFit="1" customWidth="1"/>
  </cols>
  <sheetData>
    <row r="3" spans="2:19" ht="22.8">
      <c r="B3" s="1549" t="s">
        <v>202</v>
      </c>
      <c r="C3" s="1549"/>
      <c r="D3" s="1549"/>
      <c r="E3" s="1549"/>
      <c r="F3" s="1549"/>
      <c r="G3" s="1549"/>
      <c r="H3" s="1549"/>
      <c r="I3" s="1549"/>
      <c r="J3" s="1549"/>
      <c r="K3" s="710"/>
    </row>
    <row r="4" spans="2:19" ht="13.8" thickBot="1"/>
    <row r="5" spans="2:19" ht="36" customHeight="1" thickTop="1" thickBot="1">
      <c r="B5" s="1553"/>
      <c r="C5" s="1553"/>
      <c r="D5" s="1553"/>
      <c r="E5" s="1553"/>
      <c r="F5" s="1553"/>
      <c r="G5" s="1553"/>
      <c r="H5" s="1554"/>
      <c r="I5" s="4" t="s">
        <v>125</v>
      </c>
      <c r="J5" s="3" t="s">
        <v>126</v>
      </c>
    </row>
    <row r="6" spans="2:19" ht="21" customHeight="1" thickTop="1">
      <c r="B6" t="str">
        <f>'KEY INPUTS'!D25</f>
        <v>Balance - January 1, 2019</v>
      </c>
      <c r="I6" s="166" t="s">
        <v>393</v>
      </c>
      <c r="J6" s="167" t="s">
        <v>857</v>
      </c>
    </row>
    <row r="7" spans="2:19" ht="21" customHeight="1">
      <c r="B7" s="5"/>
      <c r="C7" s="5" t="s">
        <v>863</v>
      </c>
      <c r="D7" s="5"/>
      <c r="E7" s="5"/>
      <c r="F7" s="5"/>
      <c r="G7" s="5"/>
      <c r="H7" s="49" t="s">
        <v>875</v>
      </c>
      <c r="I7" s="146" t="s">
        <v>393</v>
      </c>
      <c r="J7" s="578"/>
    </row>
    <row r="8" spans="2:19" ht="21" customHeight="1">
      <c r="B8" s="5"/>
      <c r="C8" s="5" t="s">
        <v>864</v>
      </c>
      <c r="D8" s="5"/>
      <c r="E8" s="5"/>
      <c r="F8" s="5"/>
      <c r="G8" s="5"/>
      <c r="H8" s="49" t="s">
        <v>876</v>
      </c>
      <c r="I8" s="146" t="s">
        <v>393</v>
      </c>
      <c r="J8" s="578"/>
      <c r="L8" s="291"/>
    </row>
    <row r="9" spans="2:19" ht="21" customHeight="1">
      <c r="B9" s="5"/>
      <c r="C9" s="5"/>
      <c r="D9" s="5"/>
      <c r="E9" s="5"/>
      <c r="F9" s="5"/>
      <c r="G9" s="5"/>
      <c r="H9" s="49"/>
      <c r="I9" s="310"/>
      <c r="J9" s="271"/>
      <c r="N9" s="322"/>
      <c r="O9" s="322"/>
      <c r="P9" s="322"/>
      <c r="Q9" s="322"/>
      <c r="R9" s="322"/>
      <c r="S9" s="322"/>
    </row>
    <row r="10" spans="2:19" ht="21" customHeight="1">
      <c r="B10" s="5" t="str">
        <f>'13-Other Taxes'!B31</f>
        <v>2019 Levy</v>
      </c>
      <c r="C10" s="5"/>
      <c r="D10" s="301" t="s">
        <v>1144</v>
      </c>
      <c r="E10" s="5"/>
      <c r="F10" s="5"/>
      <c r="G10" s="5"/>
      <c r="H10" s="49"/>
      <c r="I10" s="310" t="s">
        <v>393</v>
      </c>
      <c r="J10" s="264" t="s">
        <v>857</v>
      </c>
      <c r="N10" s="322"/>
      <c r="O10" s="322"/>
      <c r="P10" s="322"/>
      <c r="Q10" s="322"/>
      <c r="R10" s="322"/>
      <c r="S10" s="322"/>
    </row>
    <row r="11" spans="2:19" ht="21" customHeight="1">
      <c r="B11" s="5"/>
      <c r="C11" s="5" t="s">
        <v>865</v>
      </c>
      <c r="D11" s="5"/>
      <c r="E11" s="5"/>
      <c r="F11" s="5"/>
      <c r="G11" s="5"/>
      <c r="H11" s="49" t="s">
        <v>877</v>
      </c>
      <c r="I11" s="310" t="s">
        <v>393</v>
      </c>
      <c r="J11" s="578">
        <v>5851139.1299999999</v>
      </c>
      <c r="N11" s="377"/>
      <c r="O11" s="322"/>
      <c r="P11" s="322"/>
      <c r="Q11" s="322"/>
      <c r="R11" s="322"/>
      <c r="S11" s="322"/>
    </row>
    <row r="12" spans="2:19" ht="21" customHeight="1">
      <c r="B12" s="5"/>
      <c r="C12" s="5" t="s">
        <v>866</v>
      </c>
      <c r="D12" s="5"/>
      <c r="E12" s="5"/>
      <c r="F12" s="5"/>
      <c r="G12" s="5"/>
      <c r="H12" s="49" t="s">
        <v>878</v>
      </c>
      <c r="I12" s="310" t="s">
        <v>393</v>
      </c>
      <c r="J12" s="578">
        <v>856771.59</v>
      </c>
      <c r="N12" s="322"/>
      <c r="O12" s="322"/>
      <c r="P12" s="322"/>
      <c r="Q12" s="322"/>
      <c r="R12" s="322"/>
      <c r="S12" s="322"/>
    </row>
    <row r="13" spans="2:19" ht="21" customHeight="1">
      <c r="B13" s="5"/>
      <c r="C13" s="5" t="s">
        <v>867</v>
      </c>
      <c r="D13" s="5"/>
      <c r="E13" s="5"/>
      <c r="F13" s="5"/>
      <c r="G13" s="5"/>
      <c r="H13" s="49"/>
      <c r="I13" s="310" t="s">
        <v>393</v>
      </c>
      <c r="J13" s="578"/>
      <c r="N13" s="322"/>
      <c r="O13" s="322"/>
      <c r="P13" s="322"/>
      <c r="Q13" s="322"/>
      <c r="R13" s="322"/>
      <c r="S13" s="322"/>
    </row>
    <row r="14" spans="2:19" ht="21" customHeight="1">
      <c r="B14" s="5"/>
      <c r="C14" s="5" t="s">
        <v>868</v>
      </c>
      <c r="D14" s="5"/>
      <c r="E14" s="5"/>
      <c r="F14" s="5"/>
      <c r="G14" s="5"/>
      <c r="H14" s="49"/>
      <c r="I14" s="310" t="s">
        <v>393</v>
      </c>
      <c r="J14" s="578">
        <v>546091.17000000004</v>
      </c>
      <c r="N14" s="322"/>
      <c r="O14" s="322"/>
      <c r="P14" s="322"/>
      <c r="Q14" s="322"/>
      <c r="R14" s="322"/>
      <c r="S14" s="322"/>
    </row>
    <row r="15" spans="2:19" ht="21" customHeight="1">
      <c r="B15" s="5"/>
      <c r="C15" s="5" t="s">
        <v>864</v>
      </c>
      <c r="D15" s="5"/>
      <c r="E15" s="5"/>
      <c r="F15" s="5"/>
      <c r="G15" s="5"/>
      <c r="H15" s="49" t="s">
        <v>879</v>
      </c>
      <c r="I15" s="310" t="s">
        <v>393</v>
      </c>
      <c r="J15" s="578">
        <v>46985.27</v>
      </c>
      <c r="N15" s="322"/>
      <c r="O15" s="322"/>
      <c r="P15" s="322"/>
      <c r="Q15" s="322"/>
      <c r="R15" s="322"/>
      <c r="S15" s="322"/>
    </row>
    <row r="16" spans="2:19" ht="21" customHeight="1">
      <c r="B16" s="5" t="s">
        <v>326</v>
      </c>
      <c r="C16" s="5"/>
      <c r="D16" s="5"/>
      <c r="E16" s="5"/>
      <c r="F16" s="5"/>
      <c r="G16" s="5"/>
      <c r="H16" s="5"/>
      <c r="I16" s="374">
        <v>7300987.1600000001</v>
      </c>
      <c r="J16" s="264" t="s">
        <v>857</v>
      </c>
      <c r="K16" s="228"/>
      <c r="N16" s="322"/>
      <c r="O16" s="322"/>
      <c r="P16" s="322"/>
      <c r="Q16" s="322"/>
      <c r="R16" s="322"/>
      <c r="S16" s="322"/>
    </row>
    <row r="17" spans="2:19" ht="21" customHeight="1">
      <c r="B17" s="5" t="str">
        <f>'KEY INPUTS'!D26</f>
        <v>Balance - December 31, 2019</v>
      </c>
      <c r="C17" s="5"/>
      <c r="D17" s="5"/>
      <c r="E17" s="5"/>
      <c r="F17" s="5"/>
      <c r="G17" s="5"/>
      <c r="H17" s="5"/>
      <c r="I17" s="310" t="s">
        <v>393</v>
      </c>
      <c r="J17" s="264" t="s">
        <v>857</v>
      </c>
      <c r="N17" s="322"/>
      <c r="O17" s="322"/>
      <c r="P17" s="322"/>
      <c r="Q17" s="322"/>
      <c r="R17" s="322"/>
      <c r="S17" s="322"/>
    </row>
    <row r="18" spans="2:19" ht="21" customHeight="1">
      <c r="B18" s="5"/>
      <c r="C18" s="5" t="s">
        <v>863</v>
      </c>
      <c r="D18" s="5"/>
      <c r="E18" s="5"/>
      <c r="F18" s="5"/>
      <c r="G18" s="5"/>
      <c r="H18" s="5"/>
      <c r="I18" s="374"/>
      <c r="J18" s="127" t="s">
        <v>857</v>
      </c>
      <c r="N18" s="322"/>
      <c r="O18" s="322"/>
      <c r="P18" s="322"/>
      <c r="Q18" s="322"/>
      <c r="R18" s="322"/>
      <c r="S18" s="322"/>
    </row>
    <row r="19" spans="2:19" ht="21" customHeight="1" thickBot="1">
      <c r="B19" s="5"/>
      <c r="C19" s="5" t="s">
        <v>864</v>
      </c>
      <c r="D19" s="5"/>
      <c r="E19" s="5"/>
      <c r="F19" s="5"/>
      <c r="G19" s="5"/>
      <c r="H19" s="5"/>
      <c r="I19" s="76">
        <f>+J7+J8+J11+J12+J13+J14+J15-I16-I18</f>
        <v>-9.3132257461547852E-10</v>
      </c>
      <c r="J19" s="170" t="s">
        <v>857</v>
      </c>
      <c r="K19" s="228"/>
      <c r="N19" s="322"/>
      <c r="O19" s="322"/>
      <c r="P19" s="322"/>
      <c r="Q19" s="322"/>
      <c r="R19" s="322"/>
      <c r="S19" s="322"/>
    </row>
    <row r="20" spans="2:19" ht="21" customHeight="1" thickBot="1">
      <c r="B20" s="44"/>
      <c r="C20" s="7"/>
      <c r="D20" s="7"/>
      <c r="E20" s="7"/>
      <c r="F20" s="7"/>
      <c r="G20" s="7"/>
      <c r="H20" s="7"/>
      <c r="I20" s="79">
        <f>SUM(I6:I19)</f>
        <v>7300987.1599999992</v>
      </c>
      <c r="J20" s="78">
        <f>SUM(J6:J19)</f>
        <v>7300987.1599999992</v>
      </c>
      <c r="K20" s="228"/>
      <c r="N20" s="322"/>
      <c r="O20" s="322"/>
      <c r="P20" s="322"/>
      <c r="Q20" s="322"/>
      <c r="R20" s="322"/>
      <c r="S20" s="322"/>
    </row>
    <row r="21" spans="2:19" ht="12.75" customHeight="1" thickTop="1">
      <c r="B21" s="42"/>
      <c r="C21" s="44"/>
      <c r="D21" s="44"/>
      <c r="E21" s="44"/>
      <c r="F21" s="42"/>
      <c r="G21" s="42"/>
      <c r="H21" s="42"/>
      <c r="I21" s="11"/>
      <c r="J21" s="11"/>
      <c r="N21" s="322"/>
      <c r="O21" s="322"/>
      <c r="P21" s="322"/>
      <c r="Q21" s="322"/>
      <c r="R21" s="322"/>
      <c r="S21" s="322"/>
    </row>
    <row r="22" spans="2:19" ht="12.75" customHeight="1">
      <c r="B22" s="44"/>
      <c r="C22" s="42"/>
      <c r="D22" s="42"/>
      <c r="E22" s="42"/>
      <c r="F22" s="42"/>
      <c r="G22" s="42"/>
      <c r="H22" s="42"/>
      <c r="I22" s="42"/>
      <c r="J22" s="42"/>
      <c r="N22" s="322"/>
      <c r="O22" s="322"/>
      <c r="P22" s="322"/>
      <c r="Q22" s="322"/>
      <c r="R22" s="322"/>
      <c r="S22" s="322"/>
    </row>
    <row r="23" spans="2:19" ht="21" customHeight="1">
      <c r="N23" s="322"/>
      <c r="O23" s="322"/>
      <c r="P23" s="322"/>
      <c r="Q23" s="322"/>
      <c r="R23" s="322"/>
      <c r="S23" s="322"/>
    </row>
    <row r="24" spans="2:19" ht="21" customHeight="1">
      <c r="B24" s="1549" t="s">
        <v>862</v>
      </c>
      <c r="C24" s="1549"/>
      <c r="D24" s="1549"/>
      <c r="E24" s="1549"/>
      <c r="F24" s="1549"/>
      <c r="G24" s="1549"/>
      <c r="H24" s="1549"/>
      <c r="I24" s="1549"/>
      <c r="J24" s="1549"/>
    </row>
    <row r="25" spans="2:19" ht="12.75" customHeight="1" thickBot="1"/>
    <row r="26" spans="2:19" ht="33" customHeight="1" thickTop="1" thickBot="1">
      <c r="B26" s="1553"/>
      <c r="C26" s="1553"/>
      <c r="D26" s="1553"/>
      <c r="E26" s="1553"/>
      <c r="F26" s="1553"/>
      <c r="G26" s="1553"/>
      <c r="H26" s="1554"/>
      <c r="I26" s="4" t="s">
        <v>125</v>
      </c>
      <c r="J26" s="3" t="s">
        <v>126</v>
      </c>
    </row>
    <row r="27" spans="2:19" ht="21" customHeight="1" thickTop="1">
      <c r="B27" t="str">
        <f>B6</f>
        <v>Balance - January 1, 2019</v>
      </c>
      <c r="H27" s="38" t="s">
        <v>880</v>
      </c>
      <c r="I27" s="166" t="s">
        <v>393</v>
      </c>
      <c r="J27" s="578"/>
    </row>
    <row r="28" spans="2:19" ht="21" customHeight="1">
      <c r="B28" s="281" t="str">
        <f>TEXT('KEY INPUTS'!D34,"0")&amp;" Levy: (List Each Type of District Tax Separately - see Footnote)"</f>
        <v>2019 Levy: (List Each Type of District Tax Separately - see Footnote)</v>
      </c>
      <c r="C28" s="5"/>
      <c r="D28" s="5"/>
      <c r="E28" s="5"/>
      <c r="F28" s="5"/>
      <c r="G28" s="5"/>
      <c r="H28" s="5"/>
      <c r="I28" s="146" t="s">
        <v>393</v>
      </c>
      <c r="J28" s="977" t="s">
        <v>857</v>
      </c>
    </row>
    <row r="29" spans="2:19" ht="21" customHeight="1">
      <c r="B29" s="5"/>
      <c r="C29" s="380" t="s">
        <v>869</v>
      </c>
      <c r="D29" s="380"/>
      <c r="E29" s="380"/>
      <c r="F29" s="380"/>
      <c r="G29" s="583" t="s">
        <v>410</v>
      </c>
      <c r="H29" s="374"/>
      <c r="I29" s="146" t="s">
        <v>393</v>
      </c>
      <c r="J29" s="977" t="s">
        <v>857</v>
      </c>
    </row>
    <row r="30" spans="2:19" ht="21" customHeight="1">
      <c r="B30" s="5"/>
      <c r="C30" s="380" t="s">
        <v>870</v>
      </c>
      <c r="D30" s="380"/>
      <c r="E30" s="380"/>
      <c r="F30" s="380"/>
      <c r="G30" s="583" t="s">
        <v>411</v>
      </c>
      <c r="H30" s="374"/>
      <c r="I30" s="146" t="s">
        <v>393</v>
      </c>
      <c r="J30" s="977" t="s">
        <v>857</v>
      </c>
    </row>
    <row r="31" spans="2:19" ht="21" customHeight="1">
      <c r="B31" s="5"/>
      <c r="C31" s="380" t="s">
        <v>871</v>
      </c>
      <c r="D31" s="380"/>
      <c r="E31" s="380"/>
      <c r="F31" s="380"/>
      <c r="G31" s="583" t="s">
        <v>412</v>
      </c>
      <c r="H31" s="374"/>
      <c r="I31" s="146" t="s">
        <v>393</v>
      </c>
      <c r="J31" s="977" t="s">
        <v>857</v>
      </c>
    </row>
    <row r="32" spans="2:19" ht="21" customHeight="1">
      <c r="B32" s="30"/>
      <c r="C32" s="378" t="s">
        <v>872</v>
      </c>
      <c r="D32" s="378"/>
      <c r="E32" s="378"/>
      <c r="F32" s="378"/>
      <c r="G32" s="583" t="s">
        <v>415</v>
      </c>
      <c r="H32" s="664"/>
      <c r="I32" s="146" t="s">
        <v>393</v>
      </c>
      <c r="J32" s="977" t="s">
        <v>857</v>
      </c>
    </row>
    <row r="33" spans="2:10" ht="21" customHeight="1">
      <c r="B33" s="5"/>
      <c r="C33" s="566"/>
      <c r="D33" s="566"/>
      <c r="E33" s="566"/>
      <c r="F33" s="566"/>
      <c r="G33" s="821"/>
      <c r="H33" s="374"/>
      <c r="I33" s="146" t="s">
        <v>393</v>
      </c>
      <c r="J33" s="977" t="s">
        <v>857</v>
      </c>
    </row>
    <row r="34" spans="2:10" ht="21" customHeight="1">
      <c r="B34" s="5"/>
      <c r="C34" s="566"/>
      <c r="D34" s="566"/>
      <c r="E34" s="566"/>
      <c r="F34" s="566"/>
      <c r="G34" s="566"/>
      <c r="H34" s="374"/>
      <c r="I34" s="146" t="s">
        <v>393</v>
      </c>
      <c r="J34" s="977" t="s">
        <v>857</v>
      </c>
    </row>
    <row r="35" spans="2:10" ht="21" customHeight="1">
      <c r="B35" s="5"/>
      <c r="C35" s="566"/>
      <c r="D35" s="566"/>
      <c r="E35" s="566"/>
      <c r="F35" s="566"/>
      <c r="G35" s="566"/>
      <c r="H35" s="374"/>
      <c r="I35" s="146" t="s">
        <v>393</v>
      </c>
      <c r="J35" s="977" t="s">
        <v>857</v>
      </c>
    </row>
    <row r="36" spans="2:10" ht="21" customHeight="1">
      <c r="B36" s="281" t="str">
        <f>"Total "&amp;TEXT('KEY INPUTS'!D34,"0")&amp;" Levy"</f>
        <v>Total 2019 Levy</v>
      </c>
      <c r="C36" s="5"/>
      <c r="D36" s="5"/>
      <c r="E36" s="5"/>
      <c r="F36" s="5"/>
      <c r="G36" s="5"/>
      <c r="H36" s="49" t="s">
        <v>881</v>
      </c>
      <c r="I36" s="146" t="s">
        <v>393</v>
      </c>
      <c r="J36" s="663">
        <f>SUM(H29:H35)</f>
        <v>0</v>
      </c>
    </row>
    <row r="37" spans="2:10" ht="21" customHeight="1">
      <c r="B37" s="5" t="s">
        <v>326</v>
      </c>
      <c r="C37" s="5"/>
      <c r="D37" s="5"/>
      <c r="E37" s="5"/>
      <c r="F37" s="5"/>
      <c r="G37" s="5"/>
      <c r="H37" s="49" t="s">
        <v>882</v>
      </c>
      <c r="I37" s="374"/>
      <c r="J37" s="977" t="s">
        <v>857</v>
      </c>
    </row>
    <row r="38" spans="2:10" ht="21" customHeight="1" thickBot="1">
      <c r="B38" s="5" t="str">
        <f>B17</f>
        <v>Balance - December 31, 2019</v>
      </c>
      <c r="C38" s="5"/>
      <c r="D38" s="5"/>
      <c r="E38" s="5"/>
      <c r="F38" s="5"/>
      <c r="G38" s="5"/>
      <c r="H38" s="49" t="s">
        <v>883</v>
      </c>
      <c r="I38" s="200">
        <f>+J27+J36-I37</f>
        <v>0</v>
      </c>
      <c r="J38" s="978" t="s">
        <v>857</v>
      </c>
    </row>
    <row r="39" spans="2:10" ht="21" customHeight="1" thickBot="1">
      <c r="B39" s="43"/>
      <c r="C39" s="7"/>
      <c r="D39" s="7"/>
      <c r="E39" s="7"/>
      <c r="F39" s="7"/>
      <c r="G39" s="7"/>
      <c r="H39" s="7"/>
      <c r="I39" s="79">
        <f>SUM(I36:I38)</f>
        <v>0</v>
      </c>
      <c r="J39" s="979">
        <f>SUM(J27:J38)</f>
        <v>0</v>
      </c>
    </row>
    <row r="40" spans="2:10" ht="21" customHeight="1" thickTop="1">
      <c r="B40" s="42"/>
      <c r="C40" s="42"/>
      <c r="D40" s="42"/>
      <c r="E40" s="42"/>
      <c r="F40" s="42"/>
      <c r="G40" s="42"/>
      <c r="H40" s="42"/>
      <c r="I40" s="11"/>
      <c r="J40" s="11"/>
    </row>
    <row r="41" spans="2:10">
      <c r="B41" t="s">
        <v>874</v>
      </c>
    </row>
    <row r="42" spans="2:10">
      <c r="B42" s="1"/>
      <c r="C42" s="1"/>
      <c r="D42" s="1"/>
      <c r="E42" s="1"/>
      <c r="F42" s="1"/>
      <c r="G42" s="1"/>
      <c r="H42" s="1"/>
      <c r="I42" s="1"/>
      <c r="J42" s="1"/>
    </row>
    <row r="43" spans="2:10">
      <c r="B43" s="1"/>
      <c r="C43" s="1"/>
      <c r="D43" s="1"/>
      <c r="E43" s="1"/>
      <c r="F43" s="1"/>
      <c r="G43" s="1"/>
      <c r="H43" s="1"/>
      <c r="I43" s="1"/>
      <c r="J43" s="1"/>
    </row>
    <row r="44" spans="2:10">
      <c r="B44" s="1"/>
      <c r="C44" s="1"/>
      <c r="D44" s="1"/>
      <c r="E44" s="1"/>
      <c r="F44" s="1"/>
      <c r="G44" s="1"/>
      <c r="H44" s="1"/>
      <c r="I44" s="1"/>
      <c r="J44" s="1"/>
    </row>
    <row r="45" spans="2:10">
      <c r="B45" s="1"/>
      <c r="C45" s="1"/>
      <c r="D45" s="1"/>
      <c r="E45" s="1"/>
      <c r="F45" s="1"/>
      <c r="G45" s="1"/>
      <c r="H45" s="1"/>
      <c r="I45" s="1"/>
      <c r="J45" s="1"/>
    </row>
    <row r="47" spans="2:10" ht="13.8">
      <c r="B47" s="1507" t="s">
        <v>873</v>
      </c>
      <c r="C47" s="1507"/>
      <c r="D47" s="1507"/>
      <c r="E47" s="1507"/>
      <c r="F47" s="1507"/>
      <c r="G47" s="1507"/>
      <c r="H47" s="1507"/>
      <c r="I47" s="1507"/>
      <c r="J47" s="1507"/>
    </row>
  </sheetData>
  <sheetProtection password="CAF9" sheet="1" objects="1" scenarios="1"/>
  <customSheetViews>
    <customSheetView guid="{AC653BD0-46E3-42CB-9C76-32121A57B65A}">
      <selection activeCell="J7" sqref="J7"/>
      <pageMargins left="0.25" right="0.25" top="0.5" bottom="0.5" header="0.25" footer="0.25"/>
      <pageSetup paperSize="5" orientation="portrait" r:id="rId1"/>
      <headerFooter alignWithMargins="0"/>
    </customSheetView>
    <customSheetView guid="{B165479B-DC25-403C-9595-F1A88A4AA9A2}" topLeftCell="A28">
      <selection activeCell="I17" sqref="I17"/>
      <pageMargins left="0.25" right="0.25" top="0.5" bottom="0.5" header="0.25" footer="0.25"/>
      <pageSetup paperSize="5" orientation="portrait" r:id="rId2"/>
      <headerFooter alignWithMargins="0"/>
    </customSheetView>
    <customSheetView guid="{A64E4C9E-A3DA-4AAA-8607-F524450B9436}">
      <selection activeCell="I17" sqref="I17"/>
      <pageMargins left="0.25" right="0.25" top="0.5" bottom="0.5" header="0.25" footer="0.25"/>
      <pageSetup paperSize="5" orientation="portrait" r:id="rId3"/>
      <headerFooter alignWithMargins="0"/>
    </customSheetView>
    <customSheetView guid="{AB4FBD91-4533-473A-9702-569FF6402073}" topLeftCell="A28">
      <selection activeCell="I17" sqref="I17"/>
      <pageMargins left="0.25" right="0.25" top="0.5" bottom="0.5" header="0.25" footer="0.25"/>
      <pageSetup paperSize="5" orientation="portrait" r:id="rId4"/>
      <headerFooter alignWithMargins="0"/>
    </customSheetView>
  </customSheetViews>
  <mergeCells count="5">
    <mergeCell ref="B5:H5"/>
    <mergeCell ref="B47:J47"/>
    <mergeCell ref="B3:J3"/>
    <mergeCell ref="B24:J24"/>
    <mergeCell ref="B26:H26"/>
  </mergeCells>
  <phoneticPr fontId="0" type="noConversion"/>
  <pageMargins left="0.25" right="0.25" top="0.5" bottom="0.5" header="0.25" footer="0.25"/>
  <pageSetup paperSize="5" orientation="portrait" r:id="rId5"/>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pageSetUpPr fitToPage="1"/>
  </sheetPr>
  <dimension ref="B2:K54"/>
  <sheetViews>
    <sheetView topLeftCell="A40" zoomScaleNormal="100" workbookViewId="0">
      <selection activeCell="B3" sqref="B3:O3"/>
    </sheetView>
  </sheetViews>
  <sheetFormatPr defaultRowHeight="13.2"/>
  <cols>
    <col min="1" max="1" width="4.6640625" customWidth="1"/>
    <col min="2" max="3" width="3.6640625" customWidth="1"/>
    <col min="4" max="4" width="4.6640625" customWidth="1"/>
    <col min="6" max="6" width="16.6640625" customWidth="1"/>
    <col min="7" max="7" width="8.6640625" customWidth="1"/>
    <col min="8" max="10" width="16.6640625" customWidth="1"/>
    <col min="11" max="11" width="13.5546875" bestFit="1" customWidth="1"/>
  </cols>
  <sheetData>
    <row r="2" spans="2:11" ht="22.8">
      <c r="B2" s="1549" t="str">
        <f>"STATEMENT OF GENERAL BUDGET REVENUES "&amp;TEXT('KEY INPUTS'!D34,"0")</f>
        <v>STATEMENT OF GENERAL BUDGET REVENUES 2019</v>
      </c>
      <c r="C2" s="1549"/>
      <c r="D2" s="1549"/>
      <c r="E2" s="1549"/>
      <c r="F2" s="1549"/>
      <c r="G2" s="1549"/>
      <c r="H2" s="1549"/>
      <c r="I2" s="1549"/>
      <c r="J2" s="1549"/>
    </row>
    <row r="3" spans="2:11" ht="13.8" thickBot="1"/>
    <row r="4" spans="2:11" ht="13.8" thickTop="1">
      <c r="B4" s="1618" t="s">
        <v>211</v>
      </c>
      <c r="C4" s="1618"/>
      <c r="D4" s="1618"/>
      <c r="E4" s="1618"/>
      <c r="F4" s="1618"/>
      <c r="G4" s="1619"/>
      <c r="H4" s="12" t="s">
        <v>676</v>
      </c>
      <c r="I4" s="12" t="s">
        <v>802</v>
      </c>
      <c r="J4" s="54" t="s">
        <v>218</v>
      </c>
    </row>
    <row r="5" spans="2:11" ht="13.8" thickBot="1">
      <c r="B5" s="1620"/>
      <c r="C5" s="1620"/>
      <c r="D5" s="1620"/>
      <c r="E5" s="1620"/>
      <c r="F5" s="1620"/>
      <c r="G5" s="1621"/>
      <c r="H5" s="56" t="s">
        <v>215</v>
      </c>
      <c r="I5" s="56" t="s">
        <v>216</v>
      </c>
      <c r="J5" s="55" t="s">
        <v>217</v>
      </c>
    </row>
    <row r="6" spans="2:11" ht="21" customHeight="1" thickTop="1">
      <c r="B6" s="283" t="s">
        <v>212</v>
      </c>
      <c r="C6" s="283"/>
      <c r="D6" s="283"/>
      <c r="E6" s="283"/>
      <c r="F6" s="283"/>
      <c r="G6" s="58" t="s">
        <v>219</v>
      </c>
      <c r="H6" s="1033">
        <v>1025000</v>
      </c>
      <c r="I6" s="216">
        <f>+H6</f>
        <v>1025000</v>
      </c>
      <c r="J6" s="217">
        <f>+I6-H6</f>
        <v>0</v>
      </c>
      <c r="K6" s="325"/>
    </row>
    <row r="7" spans="2:11" ht="10.5" customHeight="1">
      <c r="B7" s="34" t="s">
        <v>213</v>
      </c>
      <c r="C7" s="322"/>
      <c r="D7" s="322"/>
      <c r="E7" s="322"/>
      <c r="F7" s="322"/>
      <c r="G7" s="759"/>
      <c r="H7" s="104"/>
      <c r="I7" s="104"/>
      <c r="J7" s="230"/>
    </row>
    <row r="8" spans="2:11" ht="13.8">
      <c r="B8" s="284" t="s">
        <v>214</v>
      </c>
      <c r="C8" s="284"/>
      <c r="D8" s="284"/>
      <c r="E8" s="284"/>
      <c r="F8" s="284"/>
      <c r="G8" s="59" t="s">
        <v>220</v>
      </c>
      <c r="H8" s="591"/>
      <c r="I8" s="591"/>
      <c r="J8" s="231">
        <f>+I8-H8</f>
        <v>0</v>
      </c>
    </row>
    <row r="9" spans="2:11" ht="21" customHeight="1">
      <c r="B9" s="323" t="s">
        <v>221</v>
      </c>
      <c r="C9" s="323"/>
      <c r="D9" s="323"/>
      <c r="E9" s="323"/>
      <c r="F9" s="323"/>
      <c r="G9" s="323"/>
      <c r="H9" s="146" t="s">
        <v>787</v>
      </c>
      <c r="I9" s="146" t="s">
        <v>787</v>
      </c>
      <c r="J9" s="127" t="s">
        <v>787</v>
      </c>
    </row>
    <row r="10" spans="2:11" ht="21" customHeight="1">
      <c r="B10" s="323"/>
      <c r="C10" s="323"/>
      <c r="D10" s="323" t="s">
        <v>222</v>
      </c>
      <c r="E10" s="323"/>
      <c r="F10" s="323"/>
      <c r="G10" s="323"/>
      <c r="H10" s="372">
        <v>3255346.39</v>
      </c>
      <c r="I10" s="372">
        <v>3564132.74</v>
      </c>
      <c r="J10" s="214">
        <f>+I10-H10</f>
        <v>308786.35000000009</v>
      </c>
      <c r="K10" s="325"/>
    </row>
    <row r="11" spans="2:11" ht="21" customHeight="1">
      <c r="B11" s="323"/>
      <c r="C11" s="323"/>
      <c r="D11" s="323" t="s">
        <v>1006</v>
      </c>
      <c r="E11" s="323"/>
      <c r="F11" s="323"/>
      <c r="G11" s="323"/>
      <c r="H11" s="337">
        <f>+'17a Totals-Budget Revenues'!H43</f>
        <v>30087</v>
      </c>
      <c r="I11" s="337">
        <f>+H11</f>
        <v>30087</v>
      </c>
      <c r="J11" s="214">
        <f>+I11-H11</f>
        <v>0</v>
      </c>
    </row>
    <row r="12" spans="2:11" ht="21" customHeight="1">
      <c r="B12" s="5"/>
      <c r="C12" s="5"/>
      <c r="D12" s="566"/>
      <c r="E12" s="566"/>
      <c r="F12" s="566"/>
      <c r="G12" s="566"/>
      <c r="H12" s="372"/>
      <c r="I12" s="372"/>
      <c r="J12" s="214">
        <f t="shared" ref="J12:J13" si="0">+I12-H12</f>
        <v>0</v>
      </c>
    </row>
    <row r="13" spans="2:11" ht="21" customHeight="1" thickBot="1">
      <c r="B13" s="5"/>
      <c r="C13" s="5"/>
      <c r="D13" s="566"/>
      <c r="E13" s="566"/>
      <c r="F13" s="566"/>
      <c r="G13" s="566"/>
      <c r="H13" s="637"/>
      <c r="I13" s="637"/>
      <c r="J13" s="948">
        <f t="shared" si="0"/>
        <v>0</v>
      </c>
    </row>
    <row r="14" spans="2:11" ht="21" customHeight="1" thickTop="1">
      <c r="B14" s="5" t="s">
        <v>1007</v>
      </c>
      <c r="C14" s="5"/>
      <c r="D14" s="5"/>
      <c r="E14" s="5"/>
      <c r="F14" s="5"/>
      <c r="G14" s="60" t="s">
        <v>1008</v>
      </c>
      <c r="H14" s="309">
        <f>SUM(H10:H13)</f>
        <v>3285433.39</v>
      </c>
      <c r="I14" s="309">
        <f>SUM(I10:I13)</f>
        <v>3594219.74</v>
      </c>
      <c r="J14" s="231">
        <f>SUM(J10:J13)</f>
        <v>308786.35000000009</v>
      </c>
      <c r="K14" s="325"/>
    </row>
    <row r="15" spans="2:11" ht="21" customHeight="1">
      <c r="B15" s="5" t="s">
        <v>1013</v>
      </c>
      <c r="C15" s="5"/>
      <c r="D15" s="5"/>
      <c r="E15" s="5"/>
      <c r="F15" s="5"/>
      <c r="G15" s="60" t="s">
        <v>1009</v>
      </c>
      <c r="H15" s="372">
        <v>140000</v>
      </c>
      <c r="I15" s="337">
        <f>+'26-Delinquent Taxes and Liens'!M22</f>
        <v>140550.29999999999</v>
      </c>
      <c r="J15" s="214">
        <f>+I15-H15</f>
        <v>550.29999999998836</v>
      </c>
      <c r="K15" s="325"/>
    </row>
    <row r="16" spans="2:11" ht="21" customHeight="1">
      <c r="B16" s="5"/>
      <c r="C16" s="5"/>
      <c r="D16" s="5"/>
      <c r="E16" s="5"/>
      <c r="F16" s="5"/>
      <c r="G16" s="5"/>
      <c r="H16" s="337"/>
      <c r="I16" s="337"/>
      <c r="J16" s="214"/>
    </row>
    <row r="17" spans="2:11" ht="21" customHeight="1">
      <c r="B17" s="5" t="s">
        <v>1014</v>
      </c>
      <c r="C17" s="5"/>
      <c r="D17" s="5"/>
      <c r="E17" s="5"/>
      <c r="F17" s="5"/>
      <c r="G17" s="5"/>
      <c r="H17" s="310" t="s">
        <v>787</v>
      </c>
      <c r="I17" s="310" t="s">
        <v>787</v>
      </c>
      <c r="J17" s="127" t="s">
        <v>787</v>
      </c>
    </row>
    <row r="18" spans="2:11" ht="21" customHeight="1">
      <c r="B18" s="5"/>
      <c r="C18" s="31" t="s">
        <v>1015</v>
      </c>
      <c r="D18" s="31"/>
      <c r="E18" s="5"/>
      <c r="F18" s="5"/>
      <c r="G18" s="60" t="s">
        <v>1010</v>
      </c>
      <c r="H18" s="372">
        <v>10915653.609999999</v>
      </c>
      <c r="I18" s="310" t="s">
        <v>787</v>
      </c>
      <c r="J18" s="127" t="s">
        <v>787</v>
      </c>
    </row>
    <row r="19" spans="2:11" ht="21" customHeight="1">
      <c r="B19" s="5"/>
      <c r="C19" s="31" t="s">
        <v>1016</v>
      </c>
      <c r="D19" s="31"/>
      <c r="E19" s="5"/>
      <c r="F19" s="5"/>
      <c r="G19" s="60" t="s">
        <v>1011</v>
      </c>
      <c r="H19" s="372"/>
      <c r="I19" s="146" t="s">
        <v>787</v>
      </c>
      <c r="J19" s="127" t="s">
        <v>787</v>
      </c>
    </row>
    <row r="20" spans="2:11" s="322" customFormat="1" ht="21" customHeight="1">
      <c r="B20" s="323"/>
      <c r="C20" s="31" t="s">
        <v>3643</v>
      </c>
      <c r="D20" s="31"/>
      <c r="E20" s="323"/>
      <c r="F20" s="323"/>
      <c r="G20" s="59" t="s">
        <v>3642</v>
      </c>
      <c r="H20" s="372"/>
      <c r="I20" s="146" t="s">
        <v>787</v>
      </c>
      <c r="J20" s="998" t="s">
        <v>787</v>
      </c>
    </row>
    <row r="21" spans="2:11" ht="21" customHeight="1" thickBot="1">
      <c r="B21" s="5"/>
      <c r="C21" s="31"/>
      <c r="D21" s="31" t="s">
        <v>341</v>
      </c>
      <c r="E21" s="5"/>
      <c r="F21" s="5"/>
      <c r="G21" s="59" t="s">
        <v>1012</v>
      </c>
      <c r="H21" s="232">
        <f>+H19+H18+H20</f>
        <v>10915653.609999999</v>
      </c>
      <c r="I21" s="232">
        <f>+I40</f>
        <v>11314481.230000004</v>
      </c>
      <c r="J21" s="230">
        <f>+I21-H21</f>
        <v>398827.62000000477</v>
      </c>
      <c r="K21" s="312"/>
    </row>
    <row r="22" spans="2:11" ht="21" customHeight="1" thickTop="1" thickBot="1">
      <c r="H22" s="215">
        <f>+H21+H15+H14+H8+H6</f>
        <v>15366087</v>
      </c>
      <c r="I22" s="215">
        <f>+I21+I15+I14+I8+I6</f>
        <v>16074251.270000005</v>
      </c>
      <c r="J22" s="233">
        <f>+J21+J15+J14+J8+J6</f>
        <v>708164.27000000491</v>
      </c>
      <c r="K22" s="325"/>
    </row>
    <row r="23" spans="2:11" ht="13.8" thickTop="1"/>
    <row r="24" spans="2:11">
      <c r="H24" s="228"/>
      <c r="J24" s="228"/>
    </row>
    <row r="25" spans="2:11">
      <c r="I25" s="228"/>
    </row>
    <row r="26" spans="2:11" ht="22.8">
      <c r="B26" s="1549" t="s">
        <v>1017</v>
      </c>
      <c r="C26" s="1549"/>
      <c r="D26" s="1549"/>
      <c r="E26" s="1549"/>
      <c r="F26" s="1549"/>
      <c r="G26" s="1549"/>
      <c r="H26" s="1549"/>
      <c r="I26" s="1549"/>
      <c r="J26" s="1549"/>
    </row>
    <row r="27" spans="2:11" ht="12.75" customHeight="1" thickBot="1">
      <c r="B27" s="26"/>
      <c r="C27" s="26"/>
      <c r="D27" s="26"/>
      <c r="E27" s="26"/>
      <c r="F27" s="26"/>
      <c r="G27" s="26"/>
      <c r="H27" s="26"/>
      <c r="I27" s="26"/>
      <c r="J27" s="26"/>
    </row>
    <row r="28" spans="2:11" ht="26.1" customHeight="1" thickTop="1" thickBot="1">
      <c r="B28" s="61"/>
      <c r="C28" s="61"/>
      <c r="D28" s="61"/>
      <c r="E28" s="61"/>
      <c r="F28" s="61"/>
      <c r="G28" s="61"/>
      <c r="H28" s="61"/>
      <c r="I28" s="4" t="s">
        <v>125</v>
      </c>
      <c r="J28" s="3" t="s">
        <v>126</v>
      </c>
    </row>
    <row r="29" spans="2:11" ht="21" customHeight="1" thickTop="1">
      <c r="B29" s="62" t="s">
        <v>1031</v>
      </c>
      <c r="C29" s="22"/>
      <c r="D29" s="22"/>
      <c r="E29" s="22"/>
      <c r="F29" s="22"/>
      <c r="G29" s="22"/>
      <c r="H29" s="50" t="s">
        <v>1019</v>
      </c>
      <c r="I29" s="145" t="s">
        <v>787</v>
      </c>
      <c r="J29" s="217">
        <f>+'22-2019 Levy'!L48</f>
        <v>37319300.620000005</v>
      </c>
    </row>
    <row r="30" spans="2:11" ht="21" customHeight="1">
      <c r="B30" s="5" t="s">
        <v>1032</v>
      </c>
      <c r="C30" s="5"/>
      <c r="D30" s="5"/>
      <c r="E30" s="5"/>
      <c r="F30" s="5"/>
      <c r="G30" s="5"/>
      <c r="H30" s="49"/>
      <c r="I30" s="146" t="s">
        <v>787</v>
      </c>
      <c r="J30" s="127" t="s">
        <v>787</v>
      </c>
    </row>
    <row r="31" spans="2:11" ht="21" customHeight="1">
      <c r="B31" s="5"/>
      <c r="C31" s="5"/>
      <c r="D31" s="5" t="s">
        <v>1033</v>
      </c>
      <c r="E31" s="5"/>
      <c r="F31" s="5"/>
      <c r="G31" s="5"/>
      <c r="H31" s="49" t="s">
        <v>1020</v>
      </c>
      <c r="I31" s="337">
        <f>+'13-Other Taxes'!H12+'13-Other Taxes'!H13</f>
        <v>11482040</v>
      </c>
      <c r="J31" s="264" t="s">
        <v>787</v>
      </c>
    </row>
    <row r="32" spans="2:11" ht="21" customHeight="1">
      <c r="B32" s="5"/>
      <c r="C32" s="5"/>
      <c r="D32" s="5" t="s">
        <v>1034</v>
      </c>
      <c r="E32" s="5"/>
      <c r="F32" s="5"/>
      <c r="G32" s="5"/>
      <c r="H32" s="49" t="s">
        <v>1021</v>
      </c>
      <c r="I32" s="337">
        <f>+'14-Other Taxes'!H13+'14-Other Taxes'!H14</f>
        <v>0</v>
      </c>
      <c r="J32" s="264" t="s">
        <v>787</v>
      </c>
    </row>
    <row r="33" spans="2:11" ht="21" customHeight="1">
      <c r="B33" s="5"/>
      <c r="C33" s="5"/>
      <c r="D33" s="5" t="s">
        <v>1035</v>
      </c>
      <c r="E33" s="5"/>
      <c r="F33" s="5"/>
      <c r="G33" s="5"/>
      <c r="H33" s="49" t="s">
        <v>1022</v>
      </c>
      <c r="I33" s="337">
        <f>+'14-Other Taxes'!H34+'14-Other Taxes'!H35</f>
        <v>7374104</v>
      </c>
      <c r="J33" s="264" t="s">
        <v>787</v>
      </c>
    </row>
    <row r="34" spans="2:11" ht="21" customHeight="1">
      <c r="B34" s="5"/>
      <c r="C34" s="5"/>
      <c r="D34" s="5" t="s">
        <v>863</v>
      </c>
      <c r="E34" s="5"/>
      <c r="F34" s="5"/>
      <c r="G34" s="5"/>
      <c r="H34" s="49" t="s">
        <v>1023</v>
      </c>
      <c r="I34" s="337">
        <f>+'15-Other Taxes'!J11+'15-Other Taxes'!J12+'15-Other Taxes'!J13+'15-Other Taxes'!J14</f>
        <v>7254001.8899999997</v>
      </c>
      <c r="J34" s="264" t="s">
        <v>787</v>
      </c>
      <c r="K34" s="385"/>
    </row>
    <row r="35" spans="2:11" ht="21" customHeight="1">
      <c r="B35" s="5"/>
      <c r="C35" s="5"/>
      <c r="D35" s="5" t="s">
        <v>864</v>
      </c>
      <c r="E35" s="5"/>
      <c r="F35" s="5"/>
      <c r="G35" s="5"/>
      <c r="H35" s="49" t="s">
        <v>1024</v>
      </c>
      <c r="I35" s="337">
        <f>+'15-Other Taxes'!J15</f>
        <v>46985.27</v>
      </c>
      <c r="J35" s="264" t="s">
        <v>787</v>
      </c>
      <c r="K35" s="385"/>
    </row>
    <row r="36" spans="2:11" ht="21" customHeight="1">
      <c r="B36" s="5"/>
      <c r="C36" s="5"/>
      <c r="D36" s="5" t="s">
        <v>1036</v>
      </c>
      <c r="E36" s="5"/>
      <c r="F36" s="5"/>
      <c r="G36" s="5"/>
      <c r="H36" s="49" t="s">
        <v>1025</v>
      </c>
      <c r="I36" s="337">
        <f>+'15-Other Taxes'!J36</f>
        <v>0</v>
      </c>
      <c r="J36" s="264" t="s">
        <v>787</v>
      </c>
    </row>
    <row r="37" spans="2:11" ht="21" customHeight="1">
      <c r="B37" s="5"/>
      <c r="C37" s="5"/>
      <c r="D37" s="5" t="s">
        <v>974</v>
      </c>
      <c r="E37" s="5"/>
      <c r="F37" s="5"/>
      <c r="G37" s="5"/>
      <c r="H37" s="49" t="s">
        <v>975</v>
      </c>
      <c r="I37" s="337">
        <f>'13-Other Taxes'!H31</f>
        <v>362688.23000000004</v>
      </c>
      <c r="J37" s="264" t="s">
        <v>787</v>
      </c>
    </row>
    <row r="38" spans="2:11" ht="21" customHeight="1">
      <c r="B38" s="5" t="s">
        <v>1037</v>
      </c>
      <c r="C38" s="5"/>
      <c r="D38" s="5"/>
      <c r="E38" s="5"/>
      <c r="F38" s="5"/>
      <c r="G38" s="5"/>
      <c r="H38" s="49" t="s">
        <v>1026</v>
      </c>
      <c r="I38" s="310" t="s">
        <v>787</v>
      </c>
      <c r="J38" s="311">
        <f>+'18-Budget Appropriations'!I15</f>
        <v>515000</v>
      </c>
      <c r="K38" s="325"/>
    </row>
    <row r="39" spans="2:11" ht="21" customHeight="1">
      <c r="B39" s="5" t="s">
        <v>337</v>
      </c>
      <c r="C39" s="5"/>
      <c r="D39" s="5"/>
      <c r="E39" s="5"/>
      <c r="F39" s="5"/>
      <c r="G39" s="5"/>
      <c r="H39" s="49" t="s">
        <v>1027</v>
      </c>
      <c r="I39" s="310" t="s">
        <v>787</v>
      </c>
      <c r="J39" s="311">
        <f>IF(I53&lt;0,-I53,0)</f>
        <v>0</v>
      </c>
    </row>
    <row r="40" spans="2:11" ht="21" customHeight="1">
      <c r="B40" s="5" t="s">
        <v>338</v>
      </c>
      <c r="C40" s="5"/>
      <c r="D40" s="5"/>
      <c r="E40" s="5"/>
      <c r="F40" s="5"/>
      <c r="G40" s="5"/>
      <c r="H40" s="49" t="s">
        <v>1028</v>
      </c>
      <c r="I40" s="337">
        <f>+J29+J38-I31-I32-I33-I34-I35-I36-I37</f>
        <v>11314481.230000004</v>
      </c>
      <c r="J40" s="127" t="s">
        <v>787</v>
      </c>
      <c r="K40" s="325"/>
    </row>
    <row r="41" spans="2:11" ht="21" customHeight="1">
      <c r="B41" s="5" t="s">
        <v>339</v>
      </c>
      <c r="C41" s="5"/>
      <c r="D41" s="5"/>
      <c r="E41" s="5"/>
      <c r="F41" s="5"/>
      <c r="G41" s="5"/>
      <c r="H41" s="49" t="s">
        <v>1029</v>
      </c>
      <c r="I41" s="372"/>
      <c r="J41" s="127" t="s">
        <v>787</v>
      </c>
    </row>
    <row r="42" spans="2:11" ht="21" customHeight="1" thickBot="1">
      <c r="B42" s="5" t="s">
        <v>340</v>
      </c>
      <c r="C42" s="5"/>
      <c r="D42" s="5"/>
      <c r="E42" s="5"/>
      <c r="F42" s="5"/>
      <c r="G42" s="5"/>
      <c r="H42" s="49" t="s">
        <v>1030</v>
      </c>
      <c r="I42" s="1006" t="s">
        <v>787</v>
      </c>
      <c r="J42" s="1034"/>
    </row>
    <row r="43" spans="2:11" ht="21" customHeight="1" thickTop="1" thickBot="1">
      <c r="B43" s="1622" t="s">
        <v>342</v>
      </c>
      <c r="C43" s="1622"/>
      <c r="D43" s="1622"/>
      <c r="E43" s="1622"/>
      <c r="F43" s="1622"/>
      <c r="G43" s="1622"/>
      <c r="H43" s="1622"/>
      <c r="I43" s="215">
        <f>SUM(I29:I42)</f>
        <v>37834300.620000005</v>
      </c>
      <c r="J43" s="233">
        <f>SUM(J29:J42)</f>
        <v>37834300.620000005</v>
      </c>
    </row>
    <row r="44" spans="2:11" ht="13.8" thickTop="1">
      <c r="B44" s="1623"/>
      <c r="C44" s="1623"/>
      <c r="D44" s="1623"/>
      <c r="E44" s="1623"/>
      <c r="F44" s="1623"/>
      <c r="G44" s="1623"/>
      <c r="H44" s="1623"/>
    </row>
    <row r="46" spans="2:11">
      <c r="I46" s="228"/>
    </row>
    <row r="50" spans="2:10" ht="13.8">
      <c r="B50" s="1507" t="s">
        <v>1018</v>
      </c>
      <c r="C50" s="1507"/>
      <c r="D50" s="1507"/>
      <c r="E50" s="1507"/>
      <c r="F50" s="1507"/>
      <c r="G50" s="1507"/>
      <c r="H50" s="1507"/>
      <c r="I50" s="1507"/>
      <c r="J50" s="1507"/>
    </row>
    <row r="52" spans="2:10" ht="13.8" thickBot="1"/>
    <row r="53" spans="2:10">
      <c r="G53" s="1614" t="s">
        <v>577</v>
      </c>
      <c r="H53" s="1615"/>
      <c r="I53" s="199">
        <f>+J29-SUM(I31:I37)+J38</f>
        <v>11314481.230000004</v>
      </c>
    </row>
    <row r="54" spans="2:10" ht="13.8" thickBot="1">
      <c r="G54" s="1616" t="s">
        <v>578</v>
      </c>
      <c r="H54" s="1617"/>
      <c r="I54" s="180"/>
    </row>
  </sheetData>
  <sheetProtection algorithmName="SHA-512" hashValue="W9+AL1748VKa+ZBjFKShjz4YE60Vi28++u4rWwNF0wvM/onBJ8yicffUO3qz4o73Ivm3bGWL0MeCuw+VbS8TEw==" saltValue="VAVv6azxRlk2Sksi3Hoo6g==" spinCount="100000" sheet="1" objects="1" scenarios="1"/>
  <customSheetViews>
    <customSheetView guid="{AC653BD0-46E3-42CB-9C76-32121A57B65A}" topLeftCell="A16">
      <selection activeCell="I40" sqref="I40"/>
      <pageMargins left="0.25" right="0.25" top="0.5" bottom="0.5" header="0.25" footer="0.25"/>
      <pageSetup paperSize="5" orientation="portrait" r:id="rId1"/>
      <headerFooter alignWithMargins="0"/>
    </customSheetView>
    <customSheetView guid="{B165479B-DC25-403C-9595-F1A88A4AA9A2}" topLeftCell="A19">
      <selection activeCell="I37" sqref="I37"/>
      <pageMargins left="0.25" right="0.25" top="0.5" bottom="0.5" header="0.25" footer="0.25"/>
      <pageSetup paperSize="5" orientation="portrait" r:id="rId2"/>
      <headerFooter alignWithMargins="0"/>
    </customSheetView>
    <customSheetView guid="{A64E4C9E-A3DA-4AAA-8607-F524450B9436}" topLeftCell="A28">
      <selection activeCell="I37" sqref="I37"/>
      <pageMargins left="0.25" right="0.25" top="0.5" bottom="0.5" header="0.25" footer="0.25"/>
      <pageSetup paperSize="5" orientation="portrait" r:id="rId3"/>
      <headerFooter alignWithMargins="0"/>
    </customSheetView>
    <customSheetView guid="{AB4FBD91-4533-473A-9702-569FF6402073}" topLeftCell="A25">
      <selection activeCell="L26" sqref="L26"/>
      <pageMargins left="0.25" right="0.25" top="0.5" bottom="0.5" header="0.25" footer="0.25"/>
      <pageSetup paperSize="5" orientation="portrait" r:id="rId4"/>
      <headerFooter alignWithMargins="0"/>
    </customSheetView>
  </customSheetViews>
  <mergeCells count="7">
    <mergeCell ref="G53:H53"/>
    <mergeCell ref="G54:H54"/>
    <mergeCell ref="B4:G5"/>
    <mergeCell ref="B2:J2"/>
    <mergeCell ref="B26:J26"/>
    <mergeCell ref="B50:J50"/>
    <mergeCell ref="B43:H44"/>
  </mergeCells>
  <phoneticPr fontId="0" type="noConversion"/>
  <pageMargins left="0.25" right="0.25" top="0.5" bottom="0.5" header="0.25" footer="0.25"/>
  <pageSetup paperSize="5" orientation="portrait" r:id="rId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B2:K57"/>
  <sheetViews>
    <sheetView topLeftCell="A34" zoomScaleNormal="100" zoomScaleSheetLayoutView="80" workbookViewId="0">
      <selection activeCell="B3" sqref="B3:O3"/>
    </sheetView>
  </sheetViews>
  <sheetFormatPr defaultRowHeight="13.2"/>
  <cols>
    <col min="1" max="1" width="4.6640625" customWidth="1"/>
    <col min="2" max="2" width="4.88671875" customWidth="1"/>
    <col min="3" max="4" width="4.6640625" customWidth="1"/>
    <col min="5" max="5" width="30.6640625" customWidth="1"/>
    <col min="6" max="6" width="15.6640625" customWidth="1"/>
    <col min="7" max="8" width="16.6640625" style="277" customWidth="1"/>
    <col min="9" max="9" width="3.6640625" bestFit="1" customWidth="1"/>
    <col min="10" max="10" width="13.5546875" bestFit="1" customWidth="1"/>
    <col min="11" max="11" width="11.109375" bestFit="1" customWidth="1"/>
  </cols>
  <sheetData>
    <row r="2" spans="2:11">
      <c r="B2" s="1555" t="s">
        <v>129</v>
      </c>
      <c r="C2" s="1555"/>
      <c r="D2" s="1555"/>
      <c r="E2" s="1555"/>
      <c r="F2" s="1555"/>
      <c r="G2" s="1555"/>
      <c r="H2" s="1555"/>
    </row>
    <row r="4" spans="2:11" ht="22.8">
      <c r="B4" s="1549" t="s">
        <v>543</v>
      </c>
      <c r="C4" s="1549"/>
      <c r="D4" s="1549"/>
      <c r="E4" s="1549"/>
      <c r="F4" s="1549"/>
      <c r="G4" s="1549"/>
      <c r="H4" s="1549"/>
    </row>
    <row r="5" spans="2:11" ht="22.8">
      <c r="B5" s="1549" t="s">
        <v>571</v>
      </c>
      <c r="C5" s="1549"/>
      <c r="D5" s="1549"/>
      <c r="E5" s="1549"/>
      <c r="F5" s="1549"/>
      <c r="G5" s="1549"/>
      <c r="H5" s="1549"/>
    </row>
    <row r="6" spans="2:11" ht="15.6">
      <c r="B6" s="1556" t="str">
        <f>'KEY INPUTS'!D44</f>
        <v>AS  AT  DECEMBER  31, 2019</v>
      </c>
      <c r="C6" s="1509"/>
      <c r="D6" s="1509"/>
      <c r="E6" s="1509"/>
      <c r="F6" s="1509"/>
      <c r="G6" s="1509"/>
      <c r="H6" s="1509"/>
    </row>
    <row r="8" spans="2:11" ht="15" customHeight="1" thickBot="1">
      <c r="B8" s="1557" t="s">
        <v>123</v>
      </c>
      <c r="C8" s="1557"/>
      <c r="D8" s="1557"/>
      <c r="E8" s="1557"/>
      <c r="F8" s="1557"/>
      <c r="G8" s="1557"/>
      <c r="H8" s="1557"/>
    </row>
    <row r="9" spans="2:11" ht="36" customHeight="1" thickTop="1" thickBot="1">
      <c r="B9" s="1553" t="s">
        <v>124</v>
      </c>
      <c r="C9" s="1553"/>
      <c r="D9" s="1553"/>
      <c r="E9" s="1553"/>
      <c r="F9" s="1554"/>
      <c r="G9" s="259" t="s">
        <v>125</v>
      </c>
      <c r="H9" s="260" t="s">
        <v>126</v>
      </c>
    </row>
    <row r="10" spans="2:11" s="322" customFormat="1" ht="21" customHeight="1" thickTop="1">
      <c r="B10" s="192" t="s">
        <v>3789</v>
      </c>
      <c r="C10" s="777"/>
      <c r="D10" s="777"/>
      <c r="E10" s="777"/>
      <c r="F10" s="737"/>
      <c r="G10" s="778">
        <f>+'3-Trial Bal-Current Fund'!G46</f>
        <v>6656524.979999993</v>
      </c>
      <c r="H10" s="833">
        <f>+'3-Trial Bal-Current Fund'!H46</f>
        <v>0</v>
      </c>
    </row>
    <row r="11" spans="2:11" ht="21" customHeight="1">
      <c r="B11" s="878" t="s">
        <v>995</v>
      </c>
      <c r="C11" s="836"/>
      <c r="D11" s="837"/>
      <c r="E11" s="837"/>
      <c r="F11" s="838"/>
      <c r="G11" s="873"/>
      <c r="H11" s="834">
        <f>'18-Budget Appropriations'!I16</f>
        <v>912726.34</v>
      </c>
      <c r="J11" s="385"/>
    </row>
    <row r="12" spans="2:11" ht="21" customHeight="1">
      <c r="B12" s="567" t="s">
        <v>3912</v>
      </c>
      <c r="C12" s="716"/>
      <c r="D12" s="813"/>
      <c r="E12" s="813"/>
      <c r="F12" s="820"/>
      <c r="G12" s="372"/>
      <c r="H12" s="589">
        <v>363222.5</v>
      </c>
      <c r="I12" s="118"/>
      <c r="J12" s="228"/>
      <c r="K12" s="228"/>
    </row>
    <row r="13" spans="2:11" ht="21" customHeight="1">
      <c r="B13" s="567" t="s">
        <v>3913</v>
      </c>
      <c r="C13" s="716"/>
      <c r="D13" s="813"/>
      <c r="E13" s="813"/>
      <c r="F13" s="820"/>
      <c r="G13" s="372"/>
      <c r="H13" s="589">
        <v>47068.86</v>
      </c>
      <c r="I13" s="118"/>
      <c r="J13" s="228"/>
      <c r="K13" s="228"/>
    </row>
    <row r="14" spans="2:11" ht="21" customHeight="1">
      <c r="B14" s="567" t="s">
        <v>3914</v>
      </c>
      <c r="C14" s="716"/>
      <c r="D14" s="813"/>
      <c r="E14" s="813"/>
      <c r="F14" s="820"/>
      <c r="G14" s="372"/>
      <c r="H14" s="589">
        <v>240955.42</v>
      </c>
      <c r="I14" s="118"/>
      <c r="J14" s="228"/>
      <c r="K14" s="228"/>
    </row>
    <row r="15" spans="2:11" ht="21" customHeight="1">
      <c r="B15" s="567" t="s">
        <v>3474</v>
      </c>
      <c r="C15" s="716"/>
      <c r="D15" s="813"/>
      <c r="E15" s="813"/>
      <c r="F15" s="820"/>
      <c r="G15" s="372"/>
      <c r="H15" s="589">
        <v>268354.61</v>
      </c>
      <c r="I15" s="118"/>
      <c r="J15" s="228"/>
      <c r="K15" s="228"/>
    </row>
    <row r="16" spans="2:11" ht="21" customHeight="1">
      <c r="B16" s="567"/>
      <c r="C16" s="716"/>
      <c r="D16" s="813"/>
      <c r="E16" s="813"/>
      <c r="F16" s="820"/>
      <c r="G16" s="372"/>
      <c r="H16" s="589"/>
      <c r="I16" s="118"/>
      <c r="J16" s="228"/>
      <c r="K16" s="228"/>
    </row>
    <row r="17" spans="2:11" ht="21" customHeight="1">
      <c r="B17" s="567"/>
      <c r="C17" s="716"/>
      <c r="D17" s="813"/>
      <c r="E17" s="813"/>
      <c r="F17" s="820"/>
      <c r="G17" s="372"/>
      <c r="H17" s="589"/>
      <c r="I17" s="118"/>
      <c r="J17" s="228"/>
      <c r="K17" s="228"/>
    </row>
    <row r="18" spans="2:11" ht="21" customHeight="1">
      <c r="B18" s="567" t="s">
        <v>3475</v>
      </c>
      <c r="C18" s="716"/>
      <c r="D18" s="813"/>
      <c r="E18" s="813"/>
      <c r="F18" s="820"/>
      <c r="G18" s="372"/>
      <c r="H18" s="589"/>
      <c r="I18" s="118"/>
      <c r="J18" s="325"/>
    </row>
    <row r="19" spans="2:11" ht="21" customHeight="1">
      <c r="B19" s="567" t="s">
        <v>3501</v>
      </c>
      <c r="C19" s="716"/>
      <c r="D19" s="813"/>
      <c r="E19" s="813"/>
      <c r="F19" s="820"/>
      <c r="G19" s="372"/>
      <c r="H19" s="589"/>
      <c r="I19" s="118"/>
      <c r="J19" s="325"/>
    </row>
    <row r="20" spans="2:11" ht="21" customHeight="1">
      <c r="B20" s="567" t="s">
        <v>3476</v>
      </c>
      <c r="C20" s="716"/>
      <c r="D20" s="813"/>
      <c r="E20" s="813"/>
      <c r="F20" s="820"/>
      <c r="G20" s="372"/>
      <c r="H20" s="589"/>
      <c r="I20" s="118"/>
      <c r="J20" s="228"/>
      <c r="K20" s="228"/>
    </row>
    <row r="21" spans="2:11" ht="21" customHeight="1">
      <c r="B21" s="567" t="s">
        <v>3915</v>
      </c>
      <c r="C21" s="716"/>
      <c r="D21" s="813"/>
      <c r="E21" s="813"/>
      <c r="F21" s="820"/>
      <c r="G21" s="372"/>
      <c r="H21" s="589">
        <v>16652</v>
      </c>
      <c r="I21" s="118"/>
      <c r="J21" s="228"/>
      <c r="K21" s="228"/>
    </row>
    <row r="22" spans="2:11" ht="21" customHeight="1">
      <c r="B22" s="835" t="s">
        <v>3502</v>
      </c>
      <c r="C22" s="836"/>
      <c r="D22" s="837"/>
      <c r="E22" s="837"/>
      <c r="F22" s="838"/>
      <c r="G22" s="873"/>
      <c r="H22" s="834">
        <f>'13-Other Taxes'!G16</f>
        <v>2</v>
      </c>
      <c r="I22" s="118"/>
    </row>
    <row r="23" spans="2:11" ht="21" customHeight="1">
      <c r="B23" s="835" t="s">
        <v>3503</v>
      </c>
      <c r="C23" s="836"/>
      <c r="D23" s="837"/>
      <c r="E23" s="837"/>
      <c r="F23" s="838"/>
      <c r="G23" s="873"/>
      <c r="H23" s="834">
        <f>'14-Other Taxes'!G17</f>
        <v>0</v>
      </c>
      <c r="I23" s="118"/>
      <c r="J23" s="325"/>
    </row>
    <row r="24" spans="2:11" ht="21" customHeight="1">
      <c r="B24" s="835" t="s">
        <v>3504</v>
      </c>
      <c r="C24" s="836"/>
      <c r="D24" s="837"/>
      <c r="E24" s="837"/>
      <c r="F24" s="838"/>
      <c r="G24" s="873"/>
      <c r="H24" s="834">
        <f>'14-Other Taxes'!G38</f>
        <v>0</v>
      </c>
      <c r="I24" s="118"/>
      <c r="J24" s="228"/>
    </row>
    <row r="25" spans="2:11" ht="21" customHeight="1">
      <c r="B25" s="843" t="s">
        <v>3775</v>
      </c>
      <c r="C25" s="1252"/>
      <c r="D25" s="1253"/>
      <c r="E25" s="1253"/>
      <c r="F25" s="1254"/>
      <c r="G25" s="906"/>
      <c r="H25" s="913">
        <f>'15-Other Taxes'!I18</f>
        <v>0</v>
      </c>
      <c r="I25" s="118"/>
      <c r="J25" s="228"/>
      <c r="K25" s="228"/>
    </row>
    <row r="26" spans="2:11" ht="21" customHeight="1">
      <c r="B26" s="835" t="s">
        <v>3505</v>
      </c>
      <c r="C26" s="836"/>
      <c r="D26" s="837"/>
      <c r="E26" s="837"/>
      <c r="F26" s="838"/>
      <c r="G26" s="873"/>
      <c r="H26" s="834">
        <f>'15-Other Taxes'!I19</f>
        <v>-9.3132257461547852E-10</v>
      </c>
      <c r="I26" s="118"/>
      <c r="J26" s="228"/>
    </row>
    <row r="27" spans="2:11" ht="21" customHeight="1">
      <c r="B27" s="835" t="s">
        <v>3506</v>
      </c>
      <c r="C27" s="836"/>
      <c r="D27" s="837"/>
      <c r="E27" s="837"/>
      <c r="F27" s="838"/>
      <c r="G27" s="873"/>
      <c r="H27" s="834">
        <f>'15-Other Taxes'!I38</f>
        <v>0</v>
      </c>
      <c r="I27" s="118"/>
      <c r="J27" s="228"/>
      <c r="K27" s="228"/>
    </row>
    <row r="28" spans="2:11" ht="21" customHeight="1">
      <c r="B28" s="835" t="s">
        <v>3507</v>
      </c>
      <c r="C28" s="836"/>
      <c r="D28" s="837"/>
      <c r="E28" s="837"/>
      <c r="F28" s="838"/>
      <c r="G28" s="873"/>
      <c r="H28" s="834">
        <f>'24-Reserves for Tax Appeals'!I17</f>
        <v>59245.22</v>
      </c>
      <c r="I28" s="118"/>
      <c r="J28" s="228"/>
      <c r="K28" s="228"/>
    </row>
    <row r="29" spans="2:11" ht="21" customHeight="1">
      <c r="B29" s="1558"/>
      <c r="C29" s="1558"/>
      <c r="D29" s="1558"/>
      <c r="E29" s="1558"/>
      <c r="F29" s="1559"/>
      <c r="G29" s="372"/>
      <c r="H29" s="589"/>
      <c r="I29" s="118"/>
      <c r="J29" s="228"/>
      <c r="K29" s="228"/>
    </row>
    <row r="30" spans="2:11" ht="21" customHeight="1">
      <c r="B30" s="1558" t="s">
        <v>3916</v>
      </c>
      <c r="C30" s="1558"/>
      <c r="D30" s="1558"/>
      <c r="E30" s="1558"/>
      <c r="F30" s="1559"/>
      <c r="G30" s="372"/>
      <c r="H30" s="589">
        <v>97591.98</v>
      </c>
      <c r="I30" s="118"/>
    </row>
    <row r="31" spans="2:11" ht="21" customHeight="1">
      <c r="B31" s="1558" t="s">
        <v>3917</v>
      </c>
      <c r="C31" s="1558"/>
      <c r="D31" s="1558"/>
      <c r="E31" s="1558"/>
      <c r="F31" s="1559"/>
      <c r="G31" s="372"/>
      <c r="H31" s="589">
        <v>2541.66</v>
      </c>
      <c r="I31" s="118"/>
      <c r="J31" s="228"/>
      <c r="K31" s="228"/>
    </row>
    <row r="32" spans="2:11" ht="21" customHeight="1">
      <c r="B32" s="1502" t="s">
        <v>3938</v>
      </c>
      <c r="C32" s="1502"/>
      <c r="D32" s="1502"/>
      <c r="E32" s="1502"/>
      <c r="F32" s="1503"/>
      <c r="G32" s="372"/>
      <c r="H32" s="589">
        <v>750</v>
      </c>
      <c r="I32" s="118"/>
      <c r="J32" s="228"/>
      <c r="K32" s="228"/>
    </row>
    <row r="33" spans="2:11" ht="21" customHeight="1">
      <c r="B33" s="1502" t="s">
        <v>3939</v>
      </c>
      <c r="C33" s="1502"/>
      <c r="D33" s="1502"/>
      <c r="E33" s="1502"/>
      <c r="F33" s="1503"/>
      <c r="G33" s="372"/>
      <c r="H33" s="589">
        <v>11792.76</v>
      </c>
      <c r="I33" s="118"/>
      <c r="J33" s="228"/>
      <c r="K33" s="228"/>
    </row>
    <row r="34" spans="2:11" ht="21" customHeight="1">
      <c r="B34" s="1558"/>
      <c r="C34" s="1558"/>
      <c r="D34" s="1558"/>
      <c r="E34" s="1558"/>
      <c r="F34" s="1559"/>
      <c r="G34" s="372"/>
      <c r="H34" s="589"/>
      <c r="I34" s="118"/>
      <c r="J34" s="228"/>
      <c r="K34" s="228"/>
    </row>
    <row r="35" spans="2:11" ht="21" customHeight="1">
      <c r="B35" s="1558"/>
      <c r="C35" s="1558"/>
      <c r="D35" s="1558"/>
      <c r="E35" s="1558"/>
      <c r="F35" s="1559"/>
      <c r="G35" s="372"/>
      <c r="H35" s="661"/>
      <c r="I35" s="118"/>
      <c r="J35" s="228"/>
      <c r="K35" s="228"/>
    </row>
    <row r="36" spans="2:11" ht="21" customHeight="1">
      <c r="B36" s="1558"/>
      <c r="C36" s="1558"/>
      <c r="D36" s="1558"/>
      <c r="E36" s="1558"/>
      <c r="F36" s="1559"/>
      <c r="G36" s="372"/>
      <c r="H36" s="568"/>
      <c r="I36" s="118"/>
    </row>
    <row r="37" spans="2:11" ht="21" customHeight="1">
      <c r="B37" s="566"/>
      <c r="C37" s="566"/>
      <c r="D37" s="566"/>
      <c r="E37" s="566"/>
      <c r="F37" s="566"/>
      <c r="G37" s="372"/>
      <c r="H37" s="1486"/>
      <c r="I37" s="118"/>
      <c r="J37" s="710"/>
    </row>
    <row r="38" spans="2:11" ht="21" customHeight="1">
      <c r="B38" s="566"/>
      <c r="C38" s="566"/>
      <c r="D38" s="566"/>
      <c r="E38" s="566"/>
      <c r="F38" s="566"/>
      <c r="G38" s="372"/>
      <c r="H38" s="589"/>
      <c r="I38" s="118"/>
    </row>
    <row r="39" spans="2:11" ht="21" customHeight="1">
      <c r="B39" s="566"/>
      <c r="C39" s="566"/>
      <c r="D39" s="566"/>
      <c r="E39" s="566"/>
      <c r="F39" s="566"/>
      <c r="G39" s="372"/>
      <c r="H39" s="589"/>
      <c r="I39" s="118"/>
      <c r="J39" s="228"/>
      <c r="K39" s="228"/>
    </row>
    <row r="40" spans="2:11" ht="21" customHeight="1">
      <c r="B40" s="566"/>
      <c r="C40" s="566"/>
      <c r="D40" s="566"/>
      <c r="E40" s="566"/>
      <c r="F40" s="566"/>
      <c r="G40" s="372"/>
      <c r="H40" s="589"/>
      <c r="I40" s="118"/>
      <c r="J40" s="228"/>
      <c r="K40" s="228"/>
    </row>
    <row r="41" spans="2:11" ht="21" customHeight="1">
      <c r="B41" s="566"/>
      <c r="C41" s="566"/>
      <c r="D41" s="566"/>
      <c r="E41" s="566"/>
      <c r="F41" s="566"/>
      <c r="G41" s="372"/>
      <c r="H41" s="589"/>
      <c r="I41" s="118"/>
      <c r="J41" s="228"/>
      <c r="K41" s="228"/>
    </row>
    <row r="42" spans="2:11" ht="21" customHeight="1">
      <c r="B42" s="566"/>
      <c r="C42" s="566"/>
      <c r="D42" s="566"/>
      <c r="E42" s="566"/>
      <c r="F42" s="566"/>
      <c r="G42" s="372"/>
      <c r="H42" s="589"/>
      <c r="I42" s="118"/>
      <c r="J42" s="228"/>
      <c r="K42" s="228"/>
    </row>
    <row r="43" spans="2:11" ht="21" customHeight="1" thickBot="1">
      <c r="B43" s="566"/>
      <c r="C43" s="566"/>
      <c r="D43" s="566"/>
      <c r="E43" s="566"/>
      <c r="F43" s="566"/>
      <c r="G43" s="586"/>
      <c r="H43" s="1487"/>
      <c r="I43" s="118"/>
    </row>
    <row r="44" spans="2:11" ht="21" customHeight="1" thickBot="1">
      <c r="B44" s="5"/>
      <c r="C44" s="5"/>
      <c r="D44" s="5"/>
      <c r="E44" s="5"/>
      <c r="F44" s="326" t="s">
        <v>3538</v>
      </c>
      <c r="G44" s="362">
        <f>SUM(G10:G43)</f>
        <v>6656524.979999993</v>
      </c>
      <c r="H44" s="270">
        <f>SUM(H10:H43)</f>
        <v>2020903.3499999989</v>
      </c>
      <c r="I44" s="118"/>
      <c r="J44" s="228"/>
    </row>
    <row r="45" spans="2:11" ht="21" customHeight="1" thickTop="1">
      <c r="B45" s="5"/>
      <c r="C45" s="5"/>
      <c r="D45" s="5"/>
      <c r="E45" s="5"/>
      <c r="F45" s="5"/>
      <c r="G45" s="309"/>
      <c r="H45" s="268"/>
    </row>
    <row r="46" spans="2:11" ht="21" customHeight="1">
      <c r="B46" s="5"/>
      <c r="C46" s="5"/>
      <c r="D46" s="5"/>
      <c r="E46" s="5"/>
      <c r="F46" s="5"/>
      <c r="G46" s="337"/>
      <c r="H46" s="311"/>
    </row>
    <row r="47" spans="2:11">
      <c r="B47" s="1511" t="s">
        <v>127</v>
      </c>
      <c r="C47" s="1511"/>
      <c r="D47" s="1511"/>
      <c r="E47" s="1511"/>
      <c r="F47" s="1511"/>
      <c r="G47" s="1511"/>
      <c r="H47" s="1511"/>
    </row>
    <row r="48" spans="2:11" ht="13.8">
      <c r="B48" s="1507" t="s">
        <v>130</v>
      </c>
      <c r="C48" s="1507"/>
      <c r="D48" s="1507"/>
      <c r="E48" s="1507"/>
      <c r="F48" s="1507"/>
      <c r="G48" s="1507"/>
      <c r="H48" s="1507"/>
    </row>
    <row r="49" spans="7:8">
      <c r="H49" s="327"/>
    </row>
    <row r="50" spans="7:8">
      <c r="G50" s="327"/>
      <c r="H50" s="327"/>
    </row>
    <row r="51" spans="7:8">
      <c r="H51" s="327"/>
    </row>
    <row r="52" spans="7:8">
      <c r="G52" s="327"/>
      <c r="H52" s="327"/>
    </row>
    <row r="53" spans="7:8">
      <c r="G53" s="327"/>
      <c r="H53" s="327"/>
    </row>
    <row r="54" spans="7:8">
      <c r="H54" s="327"/>
    </row>
    <row r="55" spans="7:8">
      <c r="G55" s="327"/>
    </row>
    <row r="57" spans="7:8">
      <c r="H57" s="327"/>
    </row>
  </sheetData>
  <sheetProtection password="CAF9" sheet="1" objects="1" scenarios="1"/>
  <customSheetViews>
    <customSheetView guid="{AC653BD0-46E3-42CB-9C76-32121A57B65A}">
      <pageMargins left="0.25" right="0.25" top="0.5" bottom="0.5" header="0.25" footer="0.25"/>
      <pageSetup paperSize="5" scale="99" orientation="portrait" r:id="rId1"/>
      <headerFooter alignWithMargins="0"/>
    </customSheetView>
    <customSheetView guid="{B165479B-DC25-403C-9595-F1A88A4AA9A2}" topLeftCell="A16">
      <selection activeCell="H16" sqref="H16"/>
      <pageMargins left="0.25" right="0.25" top="0.5" bottom="0.5" header="0.25" footer="0.25"/>
      <pageSetup paperSize="5" scale="99" orientation="portrait" r:id="rId2"/>
      <headerFooter alignWithMargins="0"/>
    </customSheetView>
    <customSheetView guid="{A64E4C9E-A3DA-4AAA-8607-F524450B9436}" topLeftCell="A7">
      <selection activeCell="H30" sqref="H30"/>
      <pageMargins left="0.25" right="0.25" top="0.5" bottom="0.5" header="0.25" footer="0.25"/>
      <pageSetup paperSize="5" scale="99" orientation="portrait" r:id="rId3"/>
      <headerFooter alignWithMargins="0"/>
    </customSheetView>
    <customSheetView guid="{AB4FBD91-4533-473A-9702-569FF6402073}" topLeftCell="A19">
      <selection activeCell="J15" sqref="J15"/>
      <pageMargins left="0.25" right="0.25" top="0.5" bottom="0.5" header="0.25" footer="0.25"/>
      <pageSetup paperSize="5" scale="99" orientation="portrait" r:id="rId4"/>
      <headerFooter alignWithMargins="0"/>
    </customSheetView>
  </customSheetViews>
  <mergeCells count="14">
    <mergeCell ref="B47:H47"/>
    <mergeCell ref="B48:H48"/>
    <mergeCell ref="B2:H2"/>
    <mergeCell ref="B4:H4"/>
    <mergeCell ref="B5:H5"/>
    <mergeCell ref="B6:H6"/>
    <mergeCell ref="B8:H8"/>
    <mergeCell ref="B9:F9"/>
    <mergeCell ref="B29:F29"/>
    <mergeCell ref="B30:F30"/>
    <mergeCell ref="B31:F31"/>
    <mergeCell ref="B34:F34"/>
    <mergeCell ref="B35:F35"/>
    <mergeCell ref="B36:F36"/>
  </mergeCells>
  <phoneticPr fontId="0" type="noConversion"/>
  <pageMargins left="0.25" right="0.25" top="0.5" bottom="0.5" header="0.25" footer="0.25"/>
  <pageSetup paperSize="5" scale="76" orientation="portrait" r:id="rId5"/>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pageSetUpPr fitToPage="1"/>
  </sheetPr>
  <dimension ref="B4:L52"/>
  <sheetViews>
    <sheetView topLeftCell="A40" zoomScaleNormal="100" zoomScaleSheetLayoutView="90" workbookViewId="0">
      <selection activeCell="B3" sqref="B3:O3"/>
    </sheetView>
  </sheetViews>
  <sheetFormatPr defaultRowHeight="13.2"/>
  <cols>
    <col min="1" max="3" width="4.6640625" customWidth="1"/>
    <col min="7" max="7" width="9.109375" customWidth="1"/>
    <col min="8" max="9" width="16.6640625" customWidth="1"/>
    <col min="10" max="10" width="19.5546875" customWidth="1"/>
  </cols>
  <sheetData>
    <row r="4" spans="2:12" ht="22.8">
      <c r="B4" s="1549" t="str">
        <f>'17-Budget Revenues'!B2:J2</f>
        <v>STATEMENT OF GENERAL BUDGET REVENUES 2019</v>
      </c>
      <c r="C4" s="1549"/>
      <c r="D4" s="1549"/>
      <c r="E4" s="1549"/>
      <c r="F4" s="1549"/>
      <c r="G4" s="1549"/>
      <c r="H4" s="1549"/>
      <c r="I4" s="1549"/>
      <c r="J4" s="1549"/>
    </row>
    <row r="5" spans="2:12" ht="13.8">
      <c r="B5" s="1507" t="s">
        <v>343</v>
      </c>
      <c r="C5" s="1507"/>
      <c r="D5" s="1507"/>
      <c r="E5" s="1507"/>
      <c r="F5" s="1507"/>
      <c r="G5" s="1507"/>
      <c r="H5" s="1507"/>
      <c r="I5" s="1507"/>
      <c r="J5" s="1507"/>
    </row>
    <row r="7" spans="2:12" ht="15.6">
      <c r="B7" s="1542" t="s">
        <v>344</v>
      </c>
      <c r="C7" s="1542"/>
      <c r="D7" s="1542"/>
      <c r="E7" s="1542"/>
      <c r="F7" s="1542"/>
      <c r="G7" s="1542"/>
      <c r="H7" s="1542"/>
      <c r="I7" s="1542"/>
      <c r="J7" s="1542"/>
    </row>
    <row r="8" spans="2:12" ht="8.25" customHeight="1" thickBot="1">
      <c r="B8" s="10"/>
      <c r="C8" s="10"/>
      <c r="D8" s="10"/>
      <c r="E8" s="10"/>
      <c r="F8" s="10"/>
      <c r="G8" s="10"/>
      <c r="H8" s="10"/>
      <c r="I8" s="10"/>
      <c r="J8" s="10"/>
    </row>
    <row r="9" spans="2:12" ht="32.1" customHeight="1" thickTop="1" thickBot="1">
      <c r="B9" s="1553" t="s">
        <v>211</v>
      </c>
      <c r="C9" s="1553"/>
      <c r="D9" s="1553"/>
      <c r="E9" s="1553"/>
      <c r="F9" s="1553"/>
      <c r="G9" s="1553"/>
      <c r="H9" s="4" t="s">
        <v>676</v>
      </c>
      <c r="I9" s="4" t="s">
        <v>802</v>
      </c>
      <c r="J9" s="992" t="s">
        <v>345</v>
      </c>
    </row>
    <row r="10" spans="2:12" ht="21.9" customHeight="1" thickTop="1">
      <c r="B10" s="22"/>
      <c r="C10" s="22"/>
      <c r="D10" s="22"/>
      <c r="E10" s="22"/>
      <c r="F10" s="22"/>
      <c r="G10" s="22"/>
      <c r="H10" s="63"/>
      <c r="I10" s="63"/>
      <c r="J10" s="64"/>
    </row>
    <row r="11" spans="2:12" ht="21.9" customHeight="1">
      <c r="B11" s="567" t="s">
        <v>3919</v>
      </c>
      <c r="C11" s="566"/>
      <c r="D11" s="566"/>
      <c r="E11" s="566"/>
      <c r="F11" s="566"/>
      <c r="G11" s="566"/>
      <c r="H11" s="372">
        <v>5000</v>
      </c>
      <c r="I11" s="372">
        <f>H11</f>
        <v>5000</v>
      </c>
      <c r="J11" s="214">
        <f t="shared" ref="J11:J12" si="0">H11-I11</f>
        <v>0</v>
      </c>
      <c r="L11" s="1456" t="s">
        <v>3777</v>
      </c>
    </row>
    <row r="12" spans="2:12" ht="21.9" customHeight="1">
      <c r="B12" s="567" t="s">
        <v>3920</v>
      </c>
      <c r="C12" s="566"/>
      <c r="D12" s="566"/>
      <c r="E12" s="566"/>
      <c r="F12" s="566"/>
      <c r="G12" s="566"/>
      <c r="H12" s="372">
        <v>3018.04</v>
      </c>
      <c r="I12" s="372">
        <f>+H12</f>
        <v>3018.04</v>
      </c>
      <c r="J12" s="214">
        <f t="shared" si="0"/>
        <v>0</v>
      </c>
    </row>
    <row r="13" spans="2:12" ht="21.9" customHeight="1">
      <c r="B13" s="567" t="s">
        <v>3921</v>
      </c>
      <c r="C13" s="566"/>
      <c r="D13" s="566"/>
      <c r="E13" s="566"/>
      <c r="F13" s="566"/>
      <c r="G13" s="566"/>
      <c r="H13" s="372">
        <v>2009.37</v>
      </c>
      <c r="I13" s="372">
        <f t="shared" ref="I13:I42" si="1">+H13</f>
        <v>2009.37</v>
      </c>
      <c r="J13" s="214">
        <f t="shared" ref="J13:J42" si="2">H13-I13</f>
        <v>0</v>
      </c>
    </row>
    <row r="14" spans="2:12" ht="21.9" customHeight="1">
      <c r="B14" s="567" t="s">
        <v>3922</v>
      </c>
      <c r="C14" s="566"/>
      <c r="D14" s="566"/>
      <c r="E14" s="566"/>
      <c r="F14" s="566"/>
      <c r="G14" s="566"/>
      <c r="H14" s="372">
        <v>1000</v>
      </c>
      <c r="I14" s="372">
        <f t="shared" si="1"/>
        <v>1000</v>
      </c>
      <c r="J14" s="214">
        <f t="shared" si="2"/>
        <v>0</v>
      </c>
    </row>
    <row r="15" spans="2:12" ht="21.9" customHeight="1">
      <c r="B15" s="567" t="s">
        <v>3920</v>
      </c>
      <c r="C15" s="566"/>
      <c r="D15" s="566"/>
      <c r="E15" s="566"/>
      <c r="F15" s="566"/>
      <c r="G15" s="566"/>
      <c r="H15" s="372">
        <v>3229.96</v>
      </c>
      <c r="I15" s="372">
        <f t="shared" si="1"/>
        <v>3229.96</v>
      </c>
      <c r="J15" s="214">
        <f t="shared" si="2"/>
        <v>0</v>
      </c>
    </row>
    <row r="16" spans="2:12" ht="21.9" customHeight="1">
      <c r="B16" s="567" t="s">
        <v>3923</v>
      </c>
      <c r="C16" s="566"/>
      <c r="D16" s="566"/>
      <c r="E16" s="566"/>
      <c r="F16" s="566"/>
      <c r="G16" s="566"/>
      <c r="H16" s="372">
        <v>15829.63</v>
      </c>
      <c r="I16" s="372">
        <f t="shared" si="1"/>
        <v>15829.63</v>
      </c>
      <c r="J16" s="214">
        <f t="shared" si="2"/>
        <v>0</v>
      </c>
    </row>
    <row r="17" spans="2:10" ht="21.9" customHeight="1">
      <c r="B17" s="567"/>
      <c r="C17" s="566"/>
      <c r="D17" s="566"/>
      <c r="E17" s="566"/>
      <c r="F17" s="566"/>
      <c r="G17" s="566"/>
      <c r="H17" s="372"/>
      <c r="I17" s="372">
        <f t="shared" si="1"/>
        <v>0</v>
      </c>
      <c r="J17" s="214">
        <f t="shared" si="2"/>
        <v>0</v>
      </c>
    </row>
    <row r="18" spans="2:10" ht="21.9" customHeight="1">
      <c r="B18" s="567"/>
      <c r="C18" s="566"/>
      <c r="D18" s="566"/>
      <c r="E18" s="566"/>
      <c r="F18" s="566"/>
      <c r="G18" s="566"/>
      <c r="H18" s="372"/>
      <c r="I18" s="372">
        <f t="shared" si="1"/>
        <v>0</v>
      </c>
      <c r="J18" s="214">
        <f t="shared" si="2"/>
        <v>0</v>
      </c>
    </row>
    <row r="19" spans="2:10" ht="21.9" customHeight="1">
      <c r="B19" s="567"/>
      <c r="C19" s="566"/>
      <c r="D19" s="566"/>
      <c r="E19" s="566"/>
      <c r="F19" s="566"/>
      <c r="G19" s="566"/>
      <c r="H19" s="372"/>
      <c r="I19" s="372">
        <f t="shared" si="1"/>
        <v>0</v>
      </c>
      <c r="J19" s="214">
        <f t="shared" si="2"/>
        <v>0</v>
      </c>
    </row>
    <row r="20" spans="2:10" ht="21.9" customHeight="1">
      <c r="B20" s="567"/>
      <c r="C20" s="566"/>
      <c r="D20" s="566"/>
      <c r="E20" s="566"/>
      <c r="F20" s="566"/>
      <c r="G20" s="566"/>
      <c r="H20" s="372"/>
      <c r="I20" s="372">
        <f t="shared" si="1"/>
        <v>0</v>
      </c>
      <c r="J20" s="214">
        <f t="shared" si="2"/>
        <v>0</v>
      </c>
    </row>
    <row r="21" spans="2:10" ht="21.9" customHeight="1">
      <c r="B21" s="567"/>
      <c r="C21" s="566"/>
      <c r="D21" s="566"/>
      <c r="E21" s="566"/>
      <c r="F21" s="566"/>
      <c r="G21" s="566"/>
      <c r="H21" s="372"/>
      <c r="I21" s="372">
        <f t="shared" si="1"/>
        <v>0</v>
      </c>
      <c r="J21" s="214">
        <f t="shared" si="2"/>
        <v>0</v>
      </c>
    </row>
    <row r="22" spans="2:10" ht="21.9" customHeight="1">
      <c r="B22" s="567"/>
      <c r="C22" s="566"/>
      <c r="D22" s="566"/>
      <c r="E22" s="566"/>
      <c r="F22" s="566"/>
      <c r="G22" s="566"/>
      <c r="H22" s="372"/>
      <c r="I22" s="372">
        <f t="shared" si="1"/>
        <v>0</v>
      </c>
      <c r="J22" s="214">
        <f t="shared" si="2"/>
        <v>0</v>
      </c>
    </row>
    <row r="23" spans="2:10" ht="21.9" customHeight="1">
      <c r="B23" s="567"/>
      <c r="C23" s="566"/>
      <c r="D23" s="566"/>
      <c r="E23" s="566"/>
      <c r="F23" s="566"/>
      <c r="G23" s="566"/>
      <c r="H23" s="372"/>
      <c r="I23" s="372">
        <f t="shared" si="1"/>
        <v>0</v>
      </c>
      <c r="J23" s="214">
        <f t="shared" si="2"/>
        <v>0</v>
      </c>
    </row>
    <row r="24" spans="2:10" ht="21.9" customHeight="1">
      <c r="B24" s="567"/>
      <c r="C24" s="566"/>
      <c r="D24" s="566"/>
      <c r="E24" s="566"/>
      <c r="F24" s="566"/>
      <c r="G24" s="566"/>
      <c r="H24" s="372"/>
      <c r="I24" s="372">
        <f t="shared" si="1"/>
        <v>0</v>
      </c>
      <c r="J24" s="214">
        <f t="shared" si="2"/>
        <v>0</v>
      </c>
    </row>
    <row r="25" spans="2:10" ht="21.9" customHeight="1">
      <c r="B25" s="567"/>
      <c r="C25" s="566"/>
      <c r="D25" s="566"/>
      <c r="E25" s="566"/>
      <c r="F25" s="566"/>
      <c r="G25" s="566"/>
      <c r="H25" s="372"/>
      <c r="I25" s="372">
        <f t="shared" si="1"/>
        <v>0</v>
      </c>
      <c r="J25" s="214">
        <f t="shared" si="2"/>
        <v>0</v>
      </c>
    </row>
    <row r="26" spans="2:10" ht="21.9" customHeight="1">
      <c r="B26" s="567"/>
      <c r="C26" s="566"/>
      <c r="D26" s="566"/>
      <c r="E26" s="566"/>
      <c r="F26" s="566"/>
      <c r="G26" s="566"/>
      <c r="H26" s="372"/>
      <c r="I26" s="372">
        <f t="shared" si="1"/>
        <v>0</v>
      </c>
      <c r="J26" s="214">
        <f t="shared" si="2"/>
        <v>0</v>
      </c>
    </row>
    <row r="27" spans="2:10" ht="21.9" customHeight="1">
      <c r="B27" s="567"/>
      <c r="C27" s="566"/>
      <c r="D27" s="566"/>
      <c r="E27" s="566"/>
      <c r="F27" s="566"/>
      <c r="G27" s="566"/>
      <c r="H27" s="372"/>
      <c r="I27" s="372">
        <f t="shared" si="1"/>
        <v>0</v>
      </c>
      <c r="J27" s="214">
        <f t="shared" si="2"/>
        <v>0</v>
      </c>
    </row>
    <row r="28" spans="2:10" ht="21.9" customHeight="1">
      <c r="B28" s="567"/>
      <c r="C28" s="566"/>
      <c r="D28" s="566"/>
      <c r="E28" s="566"/>
      <c r="F28" s="566"/>
      <c r="G28" s="566"/>
      <c r="H28" s="372"/>
      <c r="I28" s="372">
        <f t="shared" si="1"/>
        <v>0</v>
      </c>
      <c r="J28" s="214">
        <f t="shared" si="2"/>
        <v>0</v>
      </c>
    </row>
    <row r="29" spans="2:10" s="322" customFormat="1" ht="21.9" customHeight="1">
      <c r="B29" s="567"/>
      <c r="C29" s="566"/>
      <c r="D29" s="566"/>
      <c r="E29" s="566"/>
      <c r="F29" s="566"/>
      <c r="G29" s="566"/>
      <c r="H29" s="372"/>
      <c r="I29" s="372">
        <f t="shared" si="1"/>
        <v>0</v>
      </c>
      <c r="J29" s="214">
        <f t="shared" si="2"/>
        <v>0</v>
      </c>
    </row>
    <row r="30" spans="2:10" s="322" customFormat="1" ht="21.9" customHeight="1">
      <c r="B30" s="567"/>
      <c r="C30" s="566"/>
      <c r="D30" s="566"/>
      <c r="E30" s="566"/>
      <c r="F30" s="566"/>
      <c r="G30" s="566"/>
      <c r="H30" s="372"/>
      <c r="I30" s="372">
        <f t="shared" si="1"/>
        <v>0</v>
      </c>
      <c r="J30" s="214">
        <f t="shared" si="2"/>
        <v>0</v>
      </c>
    </row>
    <row r="31" spans="2:10" s="322" customFormat="1" ht="21.9" customHeight="1">
      <c r="B31" s="567"/>
      <c r="C31" s="566"/>
      <c r="D31" s="566"/>
      <c r="E31" s="566"/>
      <c r="F31" s="566"/>
      <c r="G31" s="566"/>
      <c r="H31" s="372"/>
      <c r="I31" s="372">
        <f t="shared" si="1"/>
        <v>0</v>
      </c>
      <c r="J31" s="214">
        <f t="shared" si="2"/>
        <v>0</v>
      </c>
    </row>
    <row r="32" spans="2:10" ht="21.9" customHeight="1">
      <c r="B32" s="567"/>
      <c r="C32" s="566"/>
      <c r="D32" s="566"/>
      <c r="E32" s="566"/>
      <c r="F32" s="566"/>
      <c r="G32" s="566"/>
      <c r="H32" s="372"/>
      <c r="I32" s="372">
        <f t="shared" si="1"/>
        <v>0</v>
      </c>
      <c r="J32" s="214">
        <f t="shared" si="2"/>
        <v>0</v>
      </c>
    </row>
    <row r="33" spans="2:11" ht="21.9" customHeight="1">
      <c r="B33" s="567"/>
      <c r="C33" s="566"/>
      <c r="D33" s="566"/>
      <c r="E33" s="566"/>
      <c r="F33" s="566"/>
      <c r="G33" s="566"/>
      <c r="H33" s="372"/>
      <c r="I33" s="372">
        <f t="shared" si="1"/>
        <v>0</v>
      </c>
      <c r="J33" s="214">
        <f t="shared" si="2"/>
        <v>0</v>
      </c>
    </row>
    <row r="34" spans="2:11" ht="21.9" customHeight="1">
      <c r="B34" s="567"/>
      <c r="C34" s="566"/>
      <c r="D34" s="566"/>
      <c r="E34" s="566"/>
      <c r="F34" s="566"/>
      <c r="G34" s="566"/>
      <c r="H34" s="372"/>
      <c r="I34" s="372">
        <f t="shared" si="1"/>
        <v>0</v>
      </c>
      <c r="J34" s="214">
        <f t="shared" si="2"/>
        <v>0</v>
      </c>
    </row>
    <row r="35" spans="2:11" ht="21.9" customHeight="1">
      <c r="B35" s="567"/>
      <c r="C35" s="566"/>
      <c r="D35" s="566"/>
      <c r="E35" s="566"/>
      <c r="F35" s="566"/>
      <c r="G35" s="566"/>
      <c r="H35" s="372"/>
      <c r="I35" s="372">
        <f t="shared" si="1"/>
        <v>0</v>
      </c>
      <c r="J35" s="214">
        <f t="shared" si="2"/>
        <v>0</v>
      </c>
    </row>
    <row r="36" spans="2:11" ht="21.9" customHeight="1">
      <c r="B36" s="567"/>
      <c r="C36" s="566"/>
      <c r="D36" s="566"/>
      <c r="E36" s="566"/>
      <c r="F36" s="566"/>
      <c r="G36" s="566"/>
      <c r="H36" s="372"/>
      <c r="I36" s="372">
        <f t="shared" si="1"/>
        <v>0</v>
      </c>
      <c r="J36" s="214">
        <f t="shared" si="2"/>
        <v>0</v>
      </c>
    </row>
    <row r="37" spans="2:11" ht="21.9" customHeight="1">
      <c r="B37" s="567"/>
      <c r="C37" s="566"/>
      <c r="D37" s="566"/>
      <c r="E37" s="566"/>
      <c r="F37" s="566"/>
      <c r="G37" s="566"/>
      <c r="H37" s="372"/>
      <c r="I37" s="372">
        <f t="shared" si="1"/>
        <v>0</v>
      </c>
      <c r="J37" s="214">
        <f t="shared" si="2"/>
        <v>0</v>
      </c>
    </row>
    <row r="38" spans="2:11" ht="21.9" customHeight="1">
      <c r="B38" s="567"/>
      <c r="C38" s="566"/>
      <c r="D38" s="566"/>
      <c r="E38" s="566"/>
      <c r="F38" s="566"/>
      <c r="G38" s="566"/>
      <c r="H38" s="372"/>
      <c r="I38" s="372">
        <f t="shared" si="1"/>
        <v>0</v>
      </c>
      <c r="J38" s="214">
        <f t="shared" si="2"/>
        <v>0</v>
      </c>
    </row>
    <row r="39" spans="2:11" ht="21.9" customHeight="1">
      <c r="B39" s="567"/>
      <c r="C39" s="566"/>
      <c r="D39" s="566"/>
      <c r="E39" s="566"/>
      <c r="F39" s="566"/>
      <c r="G39" s="566"/>
      <c r="H39" s="372"/>
      <c r="I39" s="372">
        <f t="shared" si="1"/>
        <v>0</v>
      </c>
      <c r="J39" s="214">
        <f t="shared" si="2"/>
        <v>0</v>
      </c>
    </row>
    <row r="40" spans="2:11" ht="21.9" customHeight="1">
      <c r="B40" s="567"/>
      <c r="C40" s="566"/>
      <c r="D40" s="566"/>
      <c r="E40" s="566"/>
      <c r="F40" s="566"/>
      <c r="G40" s="566"/>
      <c r="H40" s="372"/>
      <c r="I40" s="372">
        <f t="shared" si="1"/>
        <v>0</v>
      </c>
      <c r="J40" s="214">
        <f t="shared" si="2"/>
        <v>0</v>
      </c>
    </row>
    <row r="41" spans="2:11" ht="21.9" customHeight="1">
      <c r="B41" s="567"/>
      <c r="C41" s="566"/>
      <c r="D41" s="566"/>
      <c r="E41" s="566"/>
      <c r="F41" s="566"/>
      <c r="G41" s="566"/>
      <c r="H41" s="372"/>
      <c r="I41" s="372">
        <f t="shared" si="1"/>
        <v>0</v>
      </c>
      <c r="J41" s="214">
        <f t="shared" si="2"/>
        <v>0</v>
      </c>
    </row>
    <row r="42" spans="2:11" ht="21.9" customHeight="1">
      <c r="B42" s="567"/>
      <c r="C42" s="566"/>
      <c r="D42" s="566"/>
      <c r="E42" s="566"/>
      <c r="F42" s="566"/>
      <c r="G42" s="566"/>
      <c r="H42" s="372"/>
      <c r="I42" s="372">
        <f t="shared" si="1"/>
        <v>0</v>
      </c>
      <c r="J42" s="214">
        <f t="shared" si="2"/>
        <v>0</v>
      </c>
    </row>
    <row r="43" spans="2:11" ht="21.9" customHeight="1" thickBot="1">
      <c r="B43" s="27"/>
      <c r="C43" s="328" t="s">
        <v>3545</v>
      </c>
      <c r="D43" s="27"/>
      <c r="E43" s="27"/>
      <c r="F43" s="27"/>
      <c r="G43" s="27"/>
      <c r="H43" s="105">
        <f>SUM(H10:H42)</f>
        <v>30087</v>
      </c>
      <c r="I43" s="105">
        <f>SUM(I10:I42)</f>
        <v>30087</v>
      </c>
      <c r="J43" s="239">
        <f>SUM(J10:J42)</f>
        <v>0</v>
      </c>
      <c r="K43" s="325"/>
    </row>
    <row r="44" spans="2:11" ht="13.8" thickTop="1">
      <c r="B44" t="s">
        <v>360</v>
      </c>
    </row>
    <row r="45" spans="2:11">
      <c r="B45" t="s">
        <v>361</v>
      </c>
    </row>
    <row r="46" spans="2:11">
      <c r="B46" t="s">
        <v>362</v>
      </c>
      <c r="H46" s="228"/>
    </row>
    <row r="48" spans="2:11">
      <c r="B48" t="s">
        <v>363</v>
      </c>
      <c r="E48" s="1533"/>
      <c r="F48" s="1533"/>
      <c r="G48" s="1533"/>
      <c r="H48" s="1533"/>
    </row>
    <row r="49" spans="2:10" ht="13.8">
      <c r="B49" s="1507" t="s">
        <v>1050</v>
      </c>
      <c r="C49" s="1507"/>
      <c r="D49" s="1507"/>
      <c r="E49" s="1507"/>
      <c r="F49" s="1507"/>
      <c r="G49" s="1507"/>
      <c r="H49" s="1507"/>
      <c r="I49" s="1507"/>
      <c r="J49" s="1507"/>
    </row>
    <row r="52" spans="2:10">
      <c r="I52" s="228"/>
    </row>
  </sheetData>
  <sheetProtection algorithmName="SHA-512" hashValue="sbDcwsPD5ix582vK4rMcJo9kUaR8HkkBMJ/03IgJh1JGm7o7yEpDrK6BdZgSPeUUwgfetjjiXDl703vWYCER/g==" saltValue="psGsNyGPV4kfb0cfFNkxmw==" spinCount="100000" sheet="1" objects="1" scenarios="1"/>
  <customSheetViews>
    <customSheetView guid="{AC653BD0-46E3-42CB-9C76-32121A57B65A}">
      <selection activeCell="B1" sqref="B1"/>
      <pageMargins left="0.25" right="0.25" top="0.5" bottom="0.5" header="0.25" footer="0.25"/>
      <pageSetup paperSize="5" scale="98" orientation="portrait" r:id="rId1"/>
      <headerFooter alignWithMargins="0"/>
    </customSheetView>
    <customSheetView guid="{B165479B-DC25-403C-9595-F1A88A4AA9A2}">
      <selection activeCell="H17" sqref="H17"/>
      <pageMargins left="0.25" right="0.25" top="0.5" bottom="0.5" header="0.25" footer="0.25"/>
      <pageSetup paperSize="5" scale="98" orientation="portrait" r:id="rId2"/>
      <headerFooter alignWithMargins="0"/>
    </customSheetView>
    <customSheetView guid="{A64E4C9E-A3DA-4AAA-8607-F524450B9436}">
      <selection activeCell="H17" sqref="H17"/>
      <pageMargins left="0.25" right="0.25" top="0.5" bottom="0.5" header="0.25" footer="0.25"/>
      <pageSetup paperSize="5" scale="98" orientation="portrait" r:id="rId3"/>
      <headerFooter alignWithMargins="0"/>
    </customSheetView>
    <customSheetView guid="{AB4FBD91-4533-473A-9702-569FF6402073}">
      <selection activeCell="H17" sqref="H17"/>
      <pageMargins left="0.25" right="0.25" top="0.5" bottom="0.5" header="0.25" footer="0.25"/>
      <pageSetup paperSize="5" scale="98" orientation="portrait" r:id="rId4"/>
      <headerFooter alignWithMargins="0"/>
    </customSheetView>
  </customSheetViews>
  <mergeCells count="6">
    <mergeCell ref="B49:J49"/>
    <mergeCell ref="B4:J4"/>
    <mergeCell ref="B5:J5"/>
    <mergeCell ref="B7:J7"/>
    <mergeCell ref="B9:G9"/>
    <mergeCell ref="E48:H48"/>
  </mergeCells>
  <phoneticPr fontId="0" type="noConversion"/>
  <pageMargins left="0.25" right="0.25" top="0.5" bottom="0.5" header="0.25" footer="0.25"/>
  <pageSetup paperSize="5" orientation="portrait" r:id="rId5"/>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pageSetUpPr fitToPage="1"/>
  </sheetPr>
  <dimension ref="B4:L52"/>
  <sheetViews>
    <sheetView zoomScaleNormal="100" zoomScaleSheetLayoutView="90" workbookViewId="0">
      <selection activeCell="B3" sqref="B3:O3"/>
    </sheetView>
  </sheetViews>
  <sheetFormatPr defaultColWidth="9.109375" defaultRowHeight="13.2"/>
  <cols>
    <col min="1" max="3" width="4.6640625" style="322" customWidth="1"/>
    <col min="4" max="6" width="9.109375" style="322"/>
    <col min="7" max="7" width="9.109375" style="322" customWidth="1"/>
    <col min="8" max="9" width="16.6640625" style="322" customWidth="1"/>
    <col min="10" max="10" width="19.5546875" style="322" customWidth="1"/>
    <col min="11" max="16384" width="9.109375" style="322"/>
  </cols>
  <sheetData>
    <row r="4" spans="2:12" ht="22.8">
      <c r="B4" s="1549" t="str">
        <f>'17-Budget Revenues'!B2:J2</f>
        <v>STATEMENT OF GENERAL BUDGET REVENUES 2019</v>
      </c>
      <c r="C4" s="1549"/>
      <c r="D4" s="1549"/>
      <c r="E4" s="1549"/>
      <c r="F4" s="1549"/>
      <c r="G4" s="1549"/>
      <c r="H4" s="1549"/>
      <c r="I4" s="1549"/>
      <c r="J4" s="1549"/>
    </row>
    <row r="5" spans="2:12" ht="13.8">
      <c r="B5" s="1507" t="s">
        <v>343</v>
      </c>
      <c r="C5" s="1507"/>
      <c r="D5" s="1507"/>
      <c r="E5" s="1507"/>
      <c r="F5" s="1507"/>
      <c r="G5" s="1507"/>
      <c r="H5" s="1507"/>
      <c r="I5" s="1507"/>
      <c r="J5" s="1507"/>
    </row>
    <row r="7" spans="2:12" ht="15.6">
      <c r="B7" s="1542" t="s">
        <v>344</v>
      </c>
      <c r="C7" s="1542"/>
      <c r="D7" s="1542"/>
      <c r="E7" s="1542"/>
      <c r="F7" s="1542"/>
      <c r="G7" s="1542"/>
      <c r="H7" s="1542"/>
      <c r="I7" s="1542"/>
      <c r="J7" s="1542"/>
    </row>
    <row r="8" spans="2:12" ht="8.25" customHeight="1" thickBot="1">
      <c r="B8" s="10"/>
      <c r="C8" s="10"/>
      <c r="D8" s="10"/>
      <c r="E8" s="10"/>
      <c r="F8" s="10"/>
      <c r="G8" s="10"/>
      <c r="H8" s="10"/>
      <c r="I8" s="10"/>
      <c r="J8" s="10"/>
    </row>
    <row r="9" spans="2:12" ht="32.1" customHeight="1" thickTop="1" thickBot="1">
      <c r="B9" s="1553" t="s">
        <v>211</v>
      </c>
      <c r="C9" s="1553"/>
      <c r="D9" s="1553"/>
      <c r="E9" s="1553"/>
      <c r="F9" s="1553"/>
      <c r="G9" s="1553"/>
      <c r="H9" s="4" t="s">
        <v>676</v>
      </c>
      <c r="I9" s="4" t="s">
        <v>802</v>
      </c>
      <c r="J9" s="756" t="s">
        <v>345</v>
      </c>
    </row>
    <row r="10" spans="2:12" ht="21.9" customHeight="1" thickTop="1">
      <c r="B10" s="794" t="s">
        <v>3546</v>
      </c>
      <c r="C10" s="283"/>
      <c r="D10" s="283"/>
      <c r="E10" s="283"/>
      <c r="F10" s="283"/>
      <c r="G10" s="283"/>
      <c r="H10" s="63">
        <f>+'17a-Budget Revenues'!H43</f>
        <v>30087</v>
      </c>
      <c r="I10" s="63">
        <f>+'17a-Budget Revenues'!I43</f>
        <v>30087</v>
      </c>
      <c r="J10" s="64">
        <f>+'17a-Budget Revenues'!J43</f>
        <v>0</v>
      </c>
    </row>
    <row r="11" spans="2:12" ht="21.9" customHeight="1">
      <c r="B11" s="567"/>
      <c r="C11" s="566"/>
      <c r="D11" s="566"/>
      <c r="E11" s="566"/>
      <c r="F11" s="566"/>
      <c r="G11" s="566"/>
      <c r="H11" s="372"/>
      <c r="I11" s="372">
        <f t="shared" ref="I11:I42" si="0">+H11</f>
        <v>0</v>
      </c>
      <c r="J11" s="214">
        <f t="shared" ref="J11:J42" si="1">H11-I11</f>
        <v>0</v>
      </c>
      <c r="L11" s="1456" t="s">
        <v>3777</v>
      </c>
    </row>
    <row r="12" spans="2:12" ht="21.9" customHeight="1">
      <c r="B12" s="567"/>
      <c r="C12" s="566"/>
      <c r="D12" s="566"/>
      <c r="E12" s="566"/>
      <c r="F12" s="566"/>
      <c r="G12" s="566"/>
      <c r="H12" s="372"/>
      <c r="I12" s="372">
        <f t="shared" si="0"/>
        <v>0</v>
      </c>
      <c r="J12" s="214">
        <f t="shared" si="1"/>
        <v>0</v>
      </c>
    </row>
    <row r="13" spans="2:12" ht="21.9" customHeight="1">
      <c r="B13" s="567"/>
      <c r="C13" s="566"/>
      <c r="D13" s="566"/>
      <c r="E13" s="566"/>
      <c r="F13" s="566"/>
      <c r="G13" s="566"/>
      <c r="H13" s="372"/>
      <c r="I13" s="372">
        <f t="shared" si="0"/>
        <v>0</v>
      </c>
      <c r="J13" s="214">
        <f t="shared" si="1"/>
        <v>0</v>
      </c>
    </row>
    <row r="14" spans="2:12" ht="21.9" customHeight="1">
      <c r="B14" s="567"/>
      <c r="C14" s="566"/>
      <c r="D14" s="566"/>
      <c r="E14" s="566"/>
      <c r="F14" s="566"/>
      <c r="G14" s="566"/>
      <c r="H14" s="372"/>
      <c r="I14" s="372">
        <f t="shared" si="0"/>
        <v>0</v>
      </c>
      <c r="J14" s="214">
        <f t="shared" si="1"/>
        <v>0</v>
      </c>
    </row>
    <row r="15" spans="2:12" ht="21.9" customHeight="1">
      <c r="B15" s="567"/>
      <c r="C15" s="566"/>
      <c r="D15" s="566"/>
      <c r="E15" s="566"/>
      <c r="F15" s="566"/>
      <c r="G15" s="566"/>
      <c r="H15" s="372"/>
      <c r="I15" s="372">
        <f t="shared" si="0"/>
        <v>0</v>
      </c>
      <c r="J15" s="214">
        <f t="shared" si="1"/>
        <v>0</v>
      </c>
    </row>
    <row r="16" spans="2:12" ht="21.9" customHeight="1">
      <c r="B16" s="567"/>
      <c r="C16" s="566"/>
      <c r="D16" s="566"/>
      <c r="E16" s="566"/>
      <c r="F16" s="566"/>
      <c r="G16" s="566"/>
      <c r="H16" s="372"/>
      <c r="I16" s="372">
        <f t="shared" si="0"/>
        <v>0</v>
      </c>
      <c r="J16" s="214">
        <f t="shared" si="1"/>
        <v>0</v>
      </c>
    </row>
    <row r="17" spans="2:10" ht="21.9" customHeight="1">
      <c r="B17" s="567"/>
      <c r="C17" s="566"/>
      <c r="D17" s="566"/>
      <c r="E17" s="566"/>
      <c r="F17" s="566"/>
      <c r="G17" s="566"/>
      <c r="H17" s="372"/>
      <c r="I17" s="372">
        <f t="shared" si="0"/>
        <v>0</v>
      </c>
      <c r="J17" s="214">
        <f t="shared" si="1"/>
        <v>0</v>
      </c>
    </row>
    <row r="18" spans="2:10" ht="21.9" customHeight="1">
      <c r="B18" s="567"/>
      <c r="C18" s="566"/>
      <c r="D18" s="566"/>
      <c r="E18" s="566"/>
      <c r="F18" s="566"/>
      <c r="G18" s="566"/>
      <c r="H18" s="372"/>
      <c r="I18" s="372">
        <f t="shared" si="0"/>
        <v>0</v>
      </c>
      <c r="J18" s="214">
        <f t="shared" si="1"/>
        <v>0</v>
      </c>
    </row>
    <row r="19" spans="2:10" ht="21.9" customHeight="1">
      <c r="B19" s="567"/>
      <c r="C19" s="566"/>
      <c r="D19" s="566"/>
      <c r="E19" s="566"/>
      <c r="F19" s="566"/>
      <c r="G19" s="566"/>
      <c r="H19" s="372"/>
      <c r="I19" s="372">
        <f t="shared" si="0"/>
        <v>0</v>
      </c>
      <c r="J19" s="214">
        <f t="shared" si="1"/>
        <v>0</v>
      </c>
    </row>
    <row r="20" spans="2:10" ht="21.9" customHeight="1">
      <c r="B20" s="567"/>
      <c r="C20" s="566"/>
      <c r="D20" s="566"/>
      <c r="E20" s="566"/>
      <c r="F20" s="566"/>
      <c r="G20" s="566"/>
      <c r="H20" s="372"/>
      <c r="I20" s="372">
        <f t="shared" si="0"/>
        <v>0</v>
      </c>
      <c r="J20" s="214">
        <f t="shared" si="1"/>
        <v>0</v>
      </c>
    </row>
    <row r="21" spans="2:10" ht="21.9" customHeight="1">
      <c r="B21" s="567"/>
      <c r="C21" s="566"/>
      <c r="D21" s="566"/>
      <c r="E21" s="566"/>
      <c r="F21" s="566"/>
      <c r="G21" s="566"/>
      <c r="H21" s="372"/>
      <c r="I21" s="372">
        <f t="shared" si="0"/>
        <v>0</v>
      </c>
      <c r="J21" s="214">
        <f t="shared" si="1"/>
        <v>0</v>
      </c>
    </row>
    <row r="22" spans="2:10" ht="21.9" customHeight="1">
      <c r="B22" s="567"/>
      <c r="C22" s="566"/>
      <c r="D22" s="566"/>
      <c r="E22" s="566"/>
      <c r="F22" s="566"/>
      <c r="G22" s="566"/>
      <c r="H22" s="372"/>
      <c r="I22" s="372">
        <f t="shared" si="0"/>
        <v>0</v>
      </c>
      <c r="J22" s="214">
        <f t="shared" si="1"/>
        <v>0</v>
      </c>
    </row>
    <row r="23" spans="2:10" ht="21.9" customHeight="1">
      <c r="B23" s="567"/>
      <c r="C23" s="566"/>
      <c r="D23" s="566"/>
      <c r="E23" s="566"/>
      <c r="F23" s="566"/>
      <c r="G23" s="566"/>
      <c r="H23" s="372"/>
      <c r="I23" s="372">
        <f t="shared" si="0"/>
        <v>0</v>
      </c>
      <c r="J23" s="214">
        <f t="shared" si="1"/>
        <v>0</v>
      </c>
    </row>
    <row r="24" spans="2:10" ht="21.9" customHeight="1">
      <c r="B24" s="567"/>
      <c r="C24" s="566"/>
      <c r="D24" s="566"/>
      <c r="E24" s="566"/>
      <c r="F24" s="566"/>
      <c r="G24" s="566"/>
      <c r="H24" s="372"/>
      <c r="I24" s="372">
        <f t="shared" si="0"/>
        <v>0</v>
      </c>
      <c r="J24" s="214">
        <f t="shared" si="1"/>
        <v>0</v>
      </c>
    </row>
    <row r="25" spans="2:10" ht="21.9" customHeight="1">
      <c r="B25" s="567"/>
      <c r="C25" s="566"/>
      <c r="D25" s="566"/>
      <c r="E25" s="566"/>
      <c r="F25" s="566"/>
      <c r="G25" s="566"/>
      <c r="H25" s="372"/>
      <c r="I25" s="372">
        <f t="shared" si="0"/>
        <v>0</v>
      </c>
      <c r="J25" s="214">
        <f t="shared" si="1"/>
        <v>0</v>
      </c>
    </row>
    <row r="26" spans="2:10" ht="21.9" customHeight="1">
      <c r="B26" s="567"/>
      <c r="C26" s="566"/>
      <c r="D26" s="566"/>
      <c r="E26" s="566"/>
      <c r="F26" s="566"/>
      <c r="G26" s="566"/>
      <c r="H26" s="372"/>
      <c r="I26" s="372">
        <f t="shared" si="0"/>
        <v>0</v>
      </c>
      <c r="J26" s="214">
        <f t="shared" si="1"/>
        <v>0</v>
      </c>
    </row>
    <row r="27" spans="2:10" ht="21.9" customHeight="1">
      <c r="B27" s="567"/>
      <c r="C27" s="566"/>
      <c r="D27" s="566"/>
      <c r="E27" s="566"/>
      <c r="F27" s="566"/>
      <c r="G27" s="566"/>
      <c r="H27" s="372"/>
      <c r="I27" s="372">
        <f t="shared" si="0"/>
        <v>0</v>
      </c>
      <c r="J27" s="214">
        <f t="shared" si="1"/>
        <v>0</v>
      </c>
    </row>
    <row r="28" spans="2:10" ht="21.9" customHeight="1">
      <c r="B28" s="567"/>
      <c r="C28" s="566"/>
      <c r="D28" s="566"/>
      <c r="E28" s="566"/>
      <c r="F28" s="566"/>
      <c r="G28" s="566"/>
      <c r="H28" s="372"/>
      <c r="I28" s="372">
        <f t="shared" si="0"/>
        <v>0</v>
      </c>
      <c r="J28" s="214">
        <f t="shared" si="1"/>
        <v>0</v>
      </c>
    </row>
    <row r="29" spans="2:10" ht="21.9" customHeight="1">
      <c r="B29" s="567"/>
      <c r="C29" s="566"/>
      <c r="D29" s="566"/>
      <c r="E29" s="566"/>
      <c r="F29" s="566"/>
      <c r="G29" s="566"/>
      <c r="H29" s="372"/>
      <c r="I29" s="372">
        <f t="shared" si="0"/>
        <v>0</v>
      </c>
      <c r="J29" s="214">
        <f t="shared" si="1"/>
        <v>0</v>
      </c>
    </row>
    <row r="30" spans="2:10" ht="21.9" customHeight="1">
      <c r="B30" s="567"/>
      <c r="C30" s="566"/>
      <c r="D30" s="566"/>
      <c r="E30" s="566"/>
      <c r="F30" s="566"/>
      <c r="G30" s="566"/>
      <c r="H30" s="372"/>
      <c r="I30" s="372">
        <f t="shared" si="0"/>
        <v>0</v>
      </c>
      <c r="J30" s="214">
        <f t="shared" si="1"/>
        <v>0</v>
      </c>
    </row>
    <row r="31" spans="2:10" ht="21.9" customHeight="1">
      <c r="B31" s="567"/>
      <c r="C31" s="566"/>
      <c r="D31" s="566"/>
      <c r="E31" s="566"/>
      <c r="F31" s="566"/>
      <c r="G31" s="566"/>
      <c r="H31" s="372"/>
      <c r="I31" s="372">
        <f t="shared" si="0"/>
        <v>0</v>
      </c>
      <c r="J31" s="214">
        <f t="shared" si="1"/>
        <v>0</v>
      </c>
    </row>
    <row r="32" spans="2:10" ht="21.9" customHeight="1">
      <c r="B32" s="567"/>
      <c r="C32" s="566"/>
      <c r="D32" s="566"/>
      <c r="E32" s="566"/>
      <c r="F32" s="566"/>
      <c r="G32" s="566"/>
      <c r="H32" s="372"/>
      <c r="I32" s="372">
        <f t="shared" si="0"/>
        <v>0</v>
      </c>
      <c r="J32" s="214">
        <f t="shared" si="1"/>
        <v>0</v>
      </c>
    </row>
    <row r="33" spans="2:11" ht="21.9" customHeight="1">
      <c r="B33" s="567"/>
      <c r="C33" s="566"/>
      <c r="D33" s="566"/>
      <c r="E33" s="566"/>
      <c r="F33" s="566"/>
      <c r="G33" s="566"/>
      <c r="H33" s="372"/>
      <c r="I33" s="372">
        <f t="shared" si="0"/>
        <v>0</v>
      </c>
      <c r="J33" s="214">
        <f t="shared" si="1"/>
        <v>0</v>
      </c>
    </row>
    <row r="34" spans="2:11" ht="21.9" customHeight="1">
      <c r="B34" s="567"/>
      <c r="C34" s="566"/>
      <c r="D34" s="566"/>
      <c r="E34" s="566"/>
      <c r="F34" s="566"/>
      <c r="G34" s="566"/>
      <c r="H34" s="372"/>
      <c r="I34" s="372">
        <f t="shared" si="0"/>
        <v>0</v>
      </c>
      <c r="J34" s="214">
        <f t="shared" si="1"/>
        <v>0</v>
      </c>
    </row>
    <row r="35" spans="2:11" ht="21.9" customHeight="1">
      <c r="B35" s="567"/>
      <c r="C35" s="566"/>
      <c r="D35" s="566"/>
      <c r="E35" s="566"/>
      <c r="F35" s="566"/>
      <c r="G35" s="566"/>
      <c r="H35" s="372"/>
      <c r="I35" s="372">
        <f t="shared" si="0"/>
        <v>0</v>
      </c>
      <c r="J35" s="214">
        <f t="shared" si="1"/>
        <v>0</v>
      </c>
    </row>
    <row r="36" spans="2:11" ht="21.9" customHeight="1">
      <c r="B36" s="567"/>
      <c r="C36" s="566"/>
      <c r="D36" s="566"/>
      <c r="E36" s="566"/>
      <c r="F36" s="566"/>
      <c r="G36" s="566"/>
      <c r="H36" s="372"/>
      <c r="I36" s="372">
        <f t="shared" si="0"/>
        <v>0</v>
      </c>
      <c r="J36" s="214">
        <f t="shared" si="1"/>
        <v>0</v>
      </c>
    </row>
    <row r="37" spans="2:11" ht="21.9" customHeight="1">
      <c r="B37" s="567"/>
      <c r="C37" s="566"/>
      <c r="D37" s="566"/>
      <c r="E37" s="566"/>
      <c r="F37" s="566"/>
      <c r="G37" s="566"/>
      <c r="H37" s="372"/>
      <c r="I37" s="372">
        <f t="shared" si="0"/>
        <v>0</v>
      </c>
      <c r="J37" s="214">
        <f t="shared" si="1"/>
        <v>0</v>
      </c>
    </row>
    <row r="38" spans="2:11" ht="21.9" customHeight="1">
      <c r="B38" s="567"/>
      <c r="C38" s="566"/>
      <c r="D38" s="566"/>
      <c r="E38" s="566"/>
      <c r="F38" s="566"/>
      <c r="G38" s="566"/>
      <c r="H38" s="372"/>
      <c r="I38" s="372">
        <f t="shared" si="0"/>
        <v>0</v>
      </c>
      <c r="J38" s="214">
        <f t="shared" si="1"/>
        <v>0</v>
      </c>
    </row>
    <row r="39" spans="2:11" ht="21.9" customHeight="1">
      <c r="B39" s="567"/>
      <c r="C39" s="566"/>
      <c r="D39" s="566"/>
      <c r="E39" s="566"/>
      <c r="F39" s="566"/>
      <c r="G39" s="566"/>
      <c r="H39" s="372"/>
      <c r="I39" s="372">
        <f t="shared" si="0"/>
        <v>0</v>
      </c>
      <c r="J39" s="214">
        <f t="shared" si="1"/>
        <v>0</v>
      </c>
    </row>
    <row r="40" spans="2:11" ht="21.9" customHeight="1">
      <c r="B40" s="567"/>
      <c r="C40" s="566"/>
      <c r="D40" s="566"/>
      <c r="E40" s="566"/>
      <c r="F40" s="566"/>
      <c r="G40" s="566"/>
      <c r="H40" s="372"/>
      <c r="I40" s="372">
        <f t="shared" si="0"/>
        <v>0</v>
      </c>
      <c r="J40" s="214">
        <f t="shared" si="1"/>
        <v>0</v>
      </c>
    </row>
    <row r="41" spans="2:11" ht="21.9" customHeight="1">
      <c r="B41" s="567"/>
      <c r="C41" s="566"/>
      <c r="D41" s="566"/>
      <c r="E41" s="566"/>
      <c r="F41" s="566"/>
      <c r="G41" s="566"/>
      <c r="H41" s="372"/>
      <c r="I41" s="372">
        <f t="shared" si="0"/>
        <v>0</v>
      </c>
      <c r="J41" s="214">
        <f t="shared" si="1"/>
        <v>0</v>
      </c>
    </row>
    <row r="42" spans="2:11" ht="21.9" customHeight="1">
      <c r="B42" s="567"/>
      <c r="C42" s="566"/>
      <c r="D42" s="566"/>
      <c r="E42" s="566"/>
      <c r="F42" s="566"/>
      <c r="G42" s="566"/>
      <c r="H42" s="372"/>
      <c r="I42" s="372">
        <f t="shared" si="0"/>
        <v>0</v>
      </c>
      <c r="J42" s="214">
        <f t="shared" si="1"/>
        <v>0</v>
      </c>
    </row>
    <row r="43" spans="2:11" ht="21.9" customHeight="1" thickBot="1">
      <c r="B43" s="27"/>
      <c r="C43" s="328" t="s">
        <v>3545</v>
      </c>
      <c r="D43" s="27"/>
      <c r="E43" s="27"/>
      <c r="F43" s="27"/>
      <c r="G43" s="27"/>
      <c r="H43" s="105">
        <f>SUM(H10:H42)</f>
        <v>30087</v>
      </c>
      <c r="I43" s="105">
        <f>SUM(I10:I42)</f>
        <v>30087</v>
      </c>
      <c r="J43" s="239">
        <f>SUM(J10:J42)</f>
        <v>0</v>
      </c>
      <c r="K43" s="325"/>
    </row>
    <row r="44" spans="2:11" ht="13.8" thickTop="1">
      <c r="B44" s="322" t="s">
        <v>360</v>
      </c>
    </row>
    <row r="45" spans="2:11">
      <c r="B45" s="322" t="s">
        <v>361</v>
      </c>
    </row>
    <row r="46" spans="2:11">
      <c r="B46" s="322" t="s">
        <v>362</v>
      </c>
      <c r="H46" s="325"/>
    </row>
    <row r="48" spans="2:11">
      <c r="B48" s="322" t="s">
        <v>363</v>
      </c>
      <c r="E48" s="1533"/>
      <c r="F48" s="1533"/>
      <c r="G48" s="1533"/>
      <c r="H48" s="1533"/>
    </row>
    <row r="49" spans="2:10" ht="13.8">
      <c r="B49" s="1507" t="s">
        <v>3615</v>
      </c>
      <c r="C49" s="1507"/>
      <c r="D49" s="1507"/>
      <c r="E49" s="1507"/>
      <c r="F49" s="1507"/>
      <c r="G49" s="1507"/>
      <c r="H49" s="1507"/>
      <c r="I49" s="1507"/>
      <c r="J49" s="1507"/>
    </row>
    <row r="52" spans="2:10">
      <c r="I52" s="325"/>
    </row>
  </sheetData>
  <sheetProtection algorithmName="SHA-512" hashValue="c7wJWvwIYaZnmk7Aab8naetOoe3uux3BziY6gDZBZ1kVzYw53ZLJqbym/wV0SKM1PXcCnKqxDS6JRV3ydjnTCg==" saltValue="MFdcCofa6Cm5HIvk6fSclw==" spinCount="100000" sheet="1" objects="1" scenarios="1"/>
  <customSheetViews>
    <customSheetView guid="{AC653BD0-46E3-42CB-9C76-32121A57B65A}">
      <selection activeCell="B1" sqref="B1"/>
      <pageMargins left="0.25" right="0.25" top="0.5" bottom="0.5" header="0.25" footer="0.25"/>
      <pageSetup paperSize="5" scale="98" orientation="portrait" r:id="rId1"/>
      <headerFooter alignWithMargins="0"/>
    </customSheetView>
    <customSheetView guid="{B165479B-DC25-403C-9595-F1A88A4AA9A2}">
      <selection activeCell="B1" sqref="B1"/>
      <pageMargins left="0.25" right="0.25" top="0.5" bottom="0.5" header="0.25" footer="0.25"/>
      <pageSetup paperSize="5" scale="98" orientation="portrait" r:id="rId2"/>
      <headerFooter alignWithMargins="0"/>
    </customSheetView>
    <customSheetView guid="{A64E4C9E-A3DA-4AAA-8607-F524450B9436}">
      <selection activeCell="B1" sqref="B1"/>
      <pageMargins left="0.25" right="0.25" top="0.5" bottom="0.5" header="0.25" footer="0.25"/>
      <pageSetup paperSize="5" scale="98" orientation="portrait" r:id="rId3"/>
      <headerFooter alignWithMargins="0"/>
    </customSheetView>
    <customSheetView guid="{AB4FBD91-4533-473A-9702-569FF6402073}">
      <selection activeCell="B1" sqref="B1"/>
      <pageMargins left="0.25" right="0.25" top="0.5" bottom="0.5" header="0.25" footer="0.25"/>
      <pageSetup paperSize="5" scale="98" orientation="portrait" r:id="rId4"/>
      <headerFooter alignWithMargins="0"/>
    </customSheetView>
  </customSheetViews>
  <mergeCells count="6">
    <mergeCell ref="B49:J49"/>
    <mergeCell ref="B4:J4"/>
    <mergeCell ref="B5:J5"/>
    <mergeCell ref="B7:J7"/>
    <mergeCell ref="B9:G9"/>
    <mergeCell ref="E48:H48"/>
  </mergeCells>
  <pageMargins left="0.25" right="0.25" top="0.5" bottom="0.5" header="0.25" footer="0.25"/>
  <pageSetup paperSize="5" orientation="portrait" r:id="rId5"/>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pageSetUpPr fitToPage="1"/>
  </sheetPr>
  <dimension ref="B4:L52"/>
  <sheetViews>
    <sheetView topLeftCell="A37" zoomScaleNormal="100" zoomScaleSheetLayoutView="90" workbookViewId="0">
      <selection activeCell="B3" sqref="B3:O3"/>
    </sheetView>
  </sheetViews>
  <sheetFormatPr defaultColWidth="9.109375" defaultRowHeight="13.2"/>
  <cols>
    <col min="1" max="3" width="4.6640625" style="322" customWidth="1"/>
    <col min="4" max="6" width="9.109375" style="322"/>
    <col min="7" max="7" width="9.109375" style="322" customWidth="1"/>
    <col min="8" max="9" width="16.6640625" style="322" customWidth="1"/>
    <col min="10" max="10" width="19.5546875" style="322" customWidth="1"/>
    <col min="11" max="16384" width="9.109375" style="322"/>
  </cols>
  <sheetData>
    <row r="4" spans="2:12" ht="22.8">
      <c r="B4" s="1549" t="str">
        <f>'17-Budget Revenues'!B2:J2</f>
        <v>STATEMENT OF GENERAL BUDGET REVENUES 2019</v>
      </c>
      <c r="C4" s="1549"/>
      <c r="D4" s="1549"/>
      <c r="E4" s="1549"/>
      <c r="F4" s="1549"/>
      <c r="G4" s="1549"/>
      <c r="H4" s="1549"/>
      <c r="I4" s="1549"/>
      <c r="J4" s="1549"/>
    </row>
    <row r="5" spans="2:12" ht="13.8">
      <c r="B5" s="1507" t="s">
        <v>343</v>
      </c>
      <c r="C5" s="1507"/>
      <c r="D5" s="1507"/>
      <c r="E5" s="1507"/>
      <c r="F5" s="1507"/>
      <c r="G5" s="1507"/>
      <c r="H5" s="1507"/>
      <c r="I5" s="1507"/>
      <c r="J5" s="1507"/>
    </row>
    <row r="7" spans="2:12" ht="15.6">
      <c r="B7" s="1542" t="s">
        <v>344</v>
      </c>
      <c r="C7" s="1542"/>
      <c r="D7" s="1542"/>
      <c r="E7" s="1542"/>
      <c r="F7" s="1542"/>
      <c r="G7" s="1542"/>
      <c r="H7" s="1542"/>
      <c r="I7" s="1542"/>
      <c r="J7" s="1542"/>
    </row>
    <row r="8" spans="2:12" ht="8.25" customHeight="1" thickBot="1">
      <c r="B8" s="10"/>
      <c r="C8" s="10"/>
      <c r="D8" s="10"/>
      <c r="E8" s="10"/>
      <c r="F8" s="10"/>
      <c r="G8" s="10"/>
      <c r="H8" s="10"/>
      <c r="I8" s="10"/>
      <c r="J8" s="10"/>
    </row>
    <row r="9" spans="2:12" ht="32.1" customHeight="1" thickTop="1" thickBot="1">
      <c r="B9" s="1553" t="s">
        <v>211</v>
      </c>
      <c r="C9" s="1553"/>
      <c r="D9" s="1553"/>
      <c r="E9" s="1553"/>
      <c r="F9" s="1553"/>
      <c r="G9" s="1553"/>
      <c r="H9" s="4" t="s">
        <v>676</v>
      </c>
      <c r="I9" s="4" t="s">
        <v>802</v>
      </c>
      <c r="J9" s="756" t="s">
        <v>345</v>
      </c>
    </row>
    <row r="10" spans="2:12" ht="21.9" customHeight="1" thickTop="1">
      <c r="B10" s="794" t="s">
        <v>3546</v>
      </c>
      <c r="C10" s="283"/>
      <c r="D10" s="283"/>
      <c r="E10" s="283"/>
      <c r="F10" s="283"/>
      <c r="G10" s="283"/>
      <c r="H10" s="63">
        <f>+'17a.1-Budget Revenues '!H43</f>
        <v>30087</v>
      </c>
      <c r="I10" s="63">
        <f>+'17a.1-Budget Revenues '!I43</f>
        <v>30087</v>
      </c>
      <c r="J10" s="64">
        <f>+'17a.1-Budget Revenues '!J43</f>
        <v>0</v>
      </c>
    </row>
    <row r="11" spans="2:12" ht="21.9" customHeight="1">
      <c r="B11" s="567"/>
      <c r="C11" s="566"/>
      <c r="D11" s="566"/>
      <c r="E11" s="566"/>
      <c r="F11" s="566"/>
      <c r="G11" s="566"/>
      <c r="H11" s="372"/>
      <c r="I11" s="372">
        <f t="shared" ref="I11:I42" si="0">+H11</f>
        <v>0</v>
      </c>
      <c r="J11" s="214">
        <f t="shared" ref="J11:J42" si="1">H11-I11</f>
        <v>0</v>
      </c>
      <c r="L11" s="1456" t="s">
        <v>3777</v>
      </c>
    </row>
    <row r="12" spans="2:12" ht="21.9" customHeight="1">
      <c r="B12" s="567"/>
      <c r="C12" s="566"/>
      <c r="D12" s="566"/>
      <c r="E12" s="566"/>
      <c r="F12" s="566"/>
      <c r="G12" s="566"/>
      <c r="H12" s="372"/>
      <c r="I12" s="372">
        <f t="shared" si="0"/>
        <v>0</v>
      </c>
      <c r="J12" s="214">
        <f t="shared" si="1"/>
        <v>0</v>
      </c>
    </row>
    <row r="13" spans="2:12" ht="21.9" customHeight="1">
      <c r="B13" s="567"/>
      <c r="C13" s="566"/>
      <c r="D13" s="566"/>
      <c r="E13" s="566"/>
      <c r="F13" s="566"/>
      <c r="G13" s="566"/>
      <c r="H13" s="372"/>
      <c r="I13" s="372">
        <f t="shared" si="0"/>
        <v>0</v>
      </c>
      <c r="J13" s="214">
        <f t="shared" si="1"/>
        <v>0</v>
      </c>
    </row>
    <row r="14" spans="2:12" ht="21.9" customHeight="1">
      <c r="B14" s="567"/>
      <c r="C14" s="566"/>
      <c r="D14" s="566"/>
      <c r="E14" s="566"/>
      <c r="F14" s="566"/>
      <c r="G14" s="566"/>
      <c r="H14" s="372"/>
      <c r="I14" s="372">
        <f t="shared" si="0"/>
        <v>0</v>
      </c>
      <c r="J14" s="214">
        <f t="shared" si="1"/>
        <v>0</v>
      </c>
    </row>
    <row r="15" spans="2:12" ht="21.9" customHeight="1">
      <c r="B15" s="567"/>
      <c r="C15" s="566"/>
      <c r="D15" s="566"/>
      <c r="E15" s="566"/>
      <c r="F15" s="566"/>
      <c r="G15" s="566"/>
      <c r="H15" s="372"/>
      <c r="I15" s="372">
        <f t="shared" si="0"/>
        <v>0</v>
      </c>
      <c r="J15" s="214">
        <f t="shared" si="1"/>
        <v>0</v>
      </c>
    </row>
    <row r="16" spans="2:12" ht="21.9" customHeight="1">
      <c r="B16" s="567"/>
      <c r="C16" s="566"/>
      <c r="D16" s="566"/>
      <c r="E16" s="566"/>
      <c r="F16" s="566"/>
      <c r="G16" s="566"/>
      <c r="H16" s="372"/>
      <c r="I16" s="372">
        <f t="shared" si="0"/>
        <v>0</v>
      </c>
      <c r="J16" s="214">
        <f t="shared" si="1"/>
        <v>0</v>
      </c>
    </row>
    <row r="17" spans="2:10" ht="21.9" customHeight="1">
      <c r="B17" s="567"/>
      <c r="C17" s="566"/>
      <c r="D17" s="566"/>
      <c r="E17" s="566"/>
      <c r="F17" s="566"/>
      <c r="G17" s="566"/>
      <c r="H17" s="372"/>
      <c r="I17" s="372">
        <f t="shared" si="0"/>
        <v>0</v>
      </c>
      <c r="J17" s="214">
        <f t="shared" si="1"/>
        <v>0</v>
      </c>
    </row>
    <row r="18" spans="2:10" ht="21.9" customHeight="1">
      <c r="B18" s="567"/>
      <c r="C18" s="566"/>
      <c r="D18" s="566"/>
      <c r="E18" s="566"/>
      <c r="F18" s="566"/>
      <c r="G18" s="566"/>
      <c r="H18" s="372"/>
      <c r="I18" s="372">
        <f t="shared" si="0"/>
        <v>0</v>
      </c>
      <c r="J18" s="214">
        <f t="shared" si="1"/>
        <v>0</v>
      </c>
    </row>
    <row r="19" spans="2:10" ht="21.9" customHeight="1">
      <c r="B19" s="567"/>
      <c r="C19" s="566"/>
      <c r="D19" s="566"/>
      <c r="E19" s="566"/>
      <c r="F19" s="566"/>
      <c r="G19" s="566"/>
      <c r="H19" s="372"/>
      <c r="I19" s="372">
        <f t="shared" si="0"/>
        <v>0</v>
      </c>
      <c r="J19" s="214">
        <f t="shared" si="1"/>
        <v>0</v>
      </c>
    </row>
    <row r="20" spans="2:10" ht="21.9" customHeight="1">
      <c r="B20" s="567"/>
      <c r="C20" s="566"/>
      <c r="D20" s="566"/>
      <c r="E20" s="566"/>
      <c r="F20" s="566"/>
      <c r="G20" s="566"/>
      <c r="H20" s="372"/>
      <c r="I20" s="372">
        <f t="shared" si="0"/>
        <v>0</v>
      </c>
      <c r="J20" s="214">
        <f t="shared" si="1"/>
        <v>0</v>
      </c>
    </row>
    <row r="21" spans="2:10" ht="21.9" customHeight="1">
      <c r="B21" s="567"/>
      <c r="C21" s="566"/>
      <c r="D21" s="566"/>
      <c r="E21" s="566"/>
      <c r="F21" s="566"/>
      <c r="G21" s="566"/>
      <c r="H21" s="372"/>
      <c r="I21" s="372">
        <f t="shared" si="0"/>
        <v>0</v>
      </c>
      <c r="J21" s="214">
        <f t="shared" si="1"/>
        <v>0</v>
      </c>
    </row>
    <row r="22" spans="2:10" ht="21.9" customHeight="1">
      <c r="B22" s="567"/>
      <c r="C22" s="566"/>
      <c r="D22" s="566"/>
      <c r="E22" s="566"/>
      <c r="F22" s="566"/>
      <c r="G22" s="566"/>
      <c r="H22" s="372"/>
      <c r="I22" s="372">
        <f t="shared" si="0"/>
        <v>0</v>
      </c>
      <c r="J22" s="214">
        <f t="shared" si="1"/>
        <v>0</v>
      </c>
    </row>
    <row r="23" spans="2:10" ht="21.9" customHeight="1">
      <c r="B23" s="567"/>
      <c r="C23" s="566"/>
      <c r="D23" s="566"/>
      <c r="E23" s="566"/>
      <c r="F23" s="566"/>
      <c r="G23" s="566"/>
      <c r="H23" s="372"/>
      <c r="I23" s="372">
        <f t="shared" si="0"/>
        <v>0</v>
      </c>
      <c r="J23" s="214">
        <f t="shared" si="1"/>
        <v>0</v>
      </c>
    </row>
    <row r="24" spans="2:10" ht="21.9" customHeight="1">
      <c r="B24" s="567"/>
      <c r="C24" s="566"/>
      <c r="D24" s="566"/>
      <c r="E24" s="566"/>
      <c r="F24" s="566"/>
      <c r="G24" s="566"/>
      <c r="H24" s="372"/>
      <c r="I24" s="372">
        <f t="shared" si="0"/>
        <v>0</v>
      </c>
      <c r="J24" s="214">
        <f t="shared" si="1"/>
        <v>0</v>
      </c>
    </row>
    <row r="25" spans="2:10" ht="21.9" customHeight="1">
      <c r="B25" s="567"/>
      <c r="C25" s="566"/>
      <c r="D25" s="566"/>
      <c r="E25" s="566"/>
      <c r="F25" s="566"/>
      <c r="G25" s="566"/>
      <c r="H25" s="372"/>
      <c r="I25" s="372">
        <f t="shared" si="0"/>
        <v>0</v>
      </c>
      <c r="J25" s="214">
        <f t="shared" si="1"/>
        <v>0</v>
      </c>
    </row>
    <row r="26" spans="2:10" ht="21.9" customHeight="1">
      <c r="B26" s="567"/>
      <c r="C26" s="566"/>
      <c r="D26" s="566"/>
      <c r="E26" s="566"/>
      <c r="F26" s="566"/>
      <c r="G26" s="566"/>
      <c r="H26" s="372"/>
      <c r="I26" s="372">
        <f t="shared" si="0"/>
        <v>0</v>
      </c>
      <c r="J26" s="214">
        <f t="shared" si="1"/>
        <v>0</v>
      </c>
    </row>
    <row r="27" spans="2:10" ht="21.9" customHeight="1">
      <c r="B27" s="567"/>
      <c r="C27" s="566"/>
      <c r="D27" s="566"/>
      <c r="E27" s="566"/>
      <c r="F27" s="566"/>
      <c r="G27" s="566"/>
      <c r="H27" s="372"/>
      <c r="I27" s="372">
        <f t="shared" si="0"/>
        <v>0</v>
      </c>
      <c r="J27" s="214">
        <f t="shared" si="1"/>
        <v>0</v>
      </c>
    </row>
    <row r="28" spans="2:10" ht="21.9" customHeight="1">
      <c r="B28" s="567"/>
      <c r="C28" s="566"/>
      <c r="D28" s="566"/>
      <c r="E28" s="566"/>
      <c r="F28" s="566"/>
      <c r="G28" s="566"/>
      <c r="H28" s="372"/>
      <c r="I28" s="372">
        <f t="shared" si="0"/>
        <v>0</v>
      </c>
      <c r="J28" s="214">
        <f t="shared" si="1"/>
        <v>0</v>
      </c>
    </row>
    <row r="29" spans="2:10" ht="21.9" customHeight="1">
      <c r="B29" s="567"/>
      <c r="C29" s="566"/>
      <c r="D29" s="566"/>
      <c r="E29" s="566"/>
      <c r="F29" s="566"/>
      <c r="G29" s="566"/>
      <c r="H29" s="372"/>
      <c r="I29" s="372">
        <f t="shared" si="0"/>
        <v>0</v>
      </c>
      <c r="J29" s="214">
        <f t="shared" si="1"/>
        <v>0</v>
      </c>
    </row>
    <row r="30" spans="2:10" ht="21.9" customHeight="1">
      <c r="B30" s="567"/>
      <c r="C30" s="566"/>
      <c r="D30" s="566"/>
      <c r="E30" s="566"/>
      <c r="F30" s="566"/>
      <c r="G30" s="566"/>
      <c r="H30" s="372"/>
      <c r="I30" s="372">
        <f t="shared" si="0"/>
        <v>0</v>
      </c>
      <c r="J30" s="214">
        <f t="shared" si="1"/>
        <v>0</v>
      </c>
    </row>
    <row r="31" spans="2:10" ht="21.9" customHeight="1">
      <c r="B31" s="567"/>
      <c r="C31" s="566"/>
      <c r="D31" s="566"/>
      <c r="E31" s="566"/>
      <c r="F31" s="566"/>
      <c r="G31" s="566"/>
      <c r="H31" s="372"/>
      <c r="I31" s="372">
        <f t="shared" si="0"/>
        <v>0</v>
      </c>
      <c r="J31" s="214">
        <f t="shared" si="1"/>
        <v>0</v>
      </c>
    </row>
    <row r="32" spans="2:10" ht="21.9" customHeight="1">
      <c r="B32" s="567"/>
      <c r="C32" s="566"/>
      <c r="D32" s="566"/>
      <c r="E32" s="566"/>
      <c r="F32" s="566"/>
      <c r="G32" s="566"/>
      <c r="H32" s="372"/>
      <c r="I32" s="372">
        <f t="shared" si="0"/>
        <v>0</v>
      </c>
      <c r="J32" s="214">
        <f t="shared" si="1"/>
        <v>0</v>
      </c>
    </row>
    <row r="33" spans="2:11" ht="21.9" customHeight="1">
      <c r="B33" s="567"/>
      <c r="C33" s="566"/>
      <c r="D33" s="566"/>
      <c r="E33" s="566"/>
      <c r="F33" s="566"/>
      <c r="G33" s="566"/>
      <c r="H33" s="372"/>
      <c r="I33" s="372">
        <f t="shared" si="0"/>
        <v>0</v>
      </c>
      <c r="J33" s="214">
        <f t="shared" si="1"/>
        <v>0</v>
      </c>
    </row>
    <row r="34" spans="2:11" ht="21.9" customHeight="1">
      <c r="B34" s="567"/>
      <c r="C34" s="566"/>
      <c r="D34" s="566"/>
      <c r="E34" s="566"/>
      <c r="F34" s="566"/>
      <c r="G34" s="566"/>
      <c r="H34" s="372"/>
      <c r="I34" s="372">
        <f t="shared" si="0"/>
        <v>0</v>
      </c>
      <c r="J34" s="214">
        <f t="shared" si="1"/>
        <v>0</v>
      </c>
    </row>
    <row r="35" spans="2:11" ht="21.9" customHeight="1">
      <c r="B35" s="567"/>
      <c r="C35" s="566"/>
      <c r="D35" s="566"/>
      <c r="E35" s="566"/>
      <c r="F35" s="566"/>
      <c r="G35" s="566"/>
      <c r="H35" s="372"/>
      <c r="I35" s="372">
        <f t="shared" si="0"/>
        <v>0</v>
      </c>
      <c r="J35" s="214">
        <f t="shared" si="1"/>
        <v>0</v>
      </c>
    </row>
    <row r="36" spans="2:11" ht="21.9" customHeight="1">
      <c r="B36" s="567"/>
      <c r="C36" s="566"/>
      <c r="D36" s="566"/>
      <c r="E36" s="566"/>
      <c r="F36" s="566"/>
      <c r="G36" s="566"/>
      <c r="H36" s="372"/>
      <c r="I36" s="372">
        <f t="shared" si="0"/>
        <v>0</v>
      </c>
      <c r="J36" s="214">
        <f t="shared" si="1"/>
        <v>0</v>
      </c>
    </row>
    <row r="37" spans="2:11" ht="21.9" customHeight="1">
      <c r="B37" s="567"/>
      <c r="C37" s="566"/>
      <c r="D37" s="566"/>
      <c r="E37" s="566"/>
      <c r="F37" s="566"/>
      <c r="G37" s="566"/>
      <c r="H37" s="372"/>
      <c r="I37" s="372">
        <f t="shared" si="0"/>
        <v>0</v>
      </c>
      <c r="J37" s="214">
        <f t="shared" si="1"/>
        <v>0</v>
      </c>
    </row>
    <row r="38" spans="2:11" ht="21.9" customHeight="1">
      <c r="B38" s="567"/>
      <c r="C38" s="566"/>
      <c r="D38" s="566"/>
      <c r="E38" s="566"/>
      <c r="F38" s="566"/>
      <c r="G38" s="566"/>
      <c r="H38" s="372"/>
      <c r="I38" s="372">
        <f t="shared" si="0"/>
        <v>0</v>
      </c>
      <c r="J38" s="214">
        <f t="shared" si="1"/>
        <v>0</v>
      </c>
    </row>
    <row r="39" spans="2:11" ht="21.9" customHeight="1">
      <c r="B39" s="567"/>
      <c r="C39" s="566"/>
      <c r="D39" s="566"/>
      <c r="E39" s="566"/>
      <c r="F39" s="566"/>
      <c r="G39" s="566"/>
      <c r="H39" s="372"/>
      <c r="I39" s="372">
        <f t="shared" si="0"/>
        <v>0</v>
      </c>
      <c r="J39" s="214">
        <f t="shared" si="1"/>
        <v>0</v>
      </c>
    </row>
    <row r="40" spans="2:11" ht="21.9" customHeight="1">
      <c r="B40" s="567"/>
      <c r="C40" s="566"/>
      <c r="D40" s="566"/>
      <c r="E40" s="566"/>
      <c r="F40" s="566"/>
      <c r="G40" s="566"/>
      <c r="H40" s="372"/>
      <c r="I40" s="372">
        <f t="shared" si="0"/>
        <v>0</v>
      </c>
      <c r="J40" s="214">
        <f t="shared" si="1"/>
        <v>0</v>
      </c>
    </row>
    <row r="41" spans="2:11" ht="21.9" customHeight="1">
      <c r="B41" s="567"/>
      <c r="C41" s="566"/>
      <c r="D41" s="566"/>
      <c r="E41" s="566"/>
      <c r="F41" s="566"/>
      <c r="G41" s="566"/>
      <c r="H41" s="372"/>
      <c r="I41" s="372">
        <f t="shared" si="0"/>
        <v>0</v>
      </c>
      <c r="J41" s="214">
        <f t="shared" si="1"/>
        <v>0</v>
      </c>
    </row>
    <row r="42" spans="2:11" ht="21.9" customHeight="1">
      <c r="B42" s="567"/>
      <c r="C42" s="566"/>
      <c r="D42" s="566"/>
      <c r="E42" s="566"/>
      <c r="F42" s="566"/>
      <c r="G42" s="566"/>
      <c r="H42" s="372"/>
      <c r="I42" s="372">
        <f t="shared" si="0"/>
        <v>0</v>
      </c>
      <c r="J42" s="214">
        <f t="shared" si="1"/>
        <v>0</v>
      </c>
    </row>
    <row r="43" spans="2:11" ht="21.9" customHeight="1" thickBot="1">
      <c r="B43" s="27"/>
      <c r="C43" s="328" t="s">
        <v>3545</v>
      </c>
      <c r="D43" s="27"/>
      <c r="E43" s="27"/>
      <c r="F43" s="27"/>
      <c r="G43" s="27"/>
      <c r="H43" s="105">
        <f>SUM(H10:H42)</f>
        <v>30087</v>
      </c>
      <c r="I43" s="105">
        <f>SUM(I10:I42)</f>
        <v>30087</v>
      </c>
      <c r="J43" s="239">
        <f>SUM(J10:J42)</f>
        <v>0</v>
      </c>
      <c r="K43" s="325"/>
    </row>
    <row r="44" spans="2:11" ht="13.8" thickTop="1">
      <c r="B44" s="322" t="s">
        <v>360</v>
      </c>
    </row>
    <row r="45" spans="2:11">
      <c r="B45" s="322" t="s">
        <v>361</v>
      </c>
    </row>
    <row r="46" spans="2:11">
      <c r="B46" s="322" t="s">
        <v>362</v>
      </c>
      <c r="H46" s="325"/>
    </row>
    <row r="48" spans="2:11">
      <c r="B48" s="322" t="s">
        <v>363</v>
      </c>
      <c r="E48" s="1533"/>
      <c r="F48" s="1533"/>
      <c r="G48" s="1533"/>
      <c r="H48" s="1533"/>
    </row>
    <row r="49" spans="2:10" ht="13.8">
      <c r="B49" s="1507" t="s">
        <v>3614</v>
      </c>
      <c r="C49" s="1507"/>
      <c r="D49" s="1507"/>
      <c r="E49" s="1507"/>
      <c r="F49" s="1507"/>
      <c r="G49" s="1507"/>
      <c r="H49" s="1507"/>
      <c r="I49" s="1507"/>
      <c r="J49" s="1507"/>
    </row>
    <row r="52" spans="2:10">
      <c r="I52" s="325"/>
    </row>
  </sheetData>
  <sheetProtection algorithmName="SHA-512" hashValue="RwEd7zlA2F0Ute7ElqWlGYBscGYVtH/OPcnNIx4FexXYrOXafHs5vi0YWnZwLIqFFQE80FeayROnQXxkIxH8MA==" saltValue="iuOLtgbPntkZtvG6WWMHJw==" spinCount="100000" sheet="1" objects="1" scenarios="1"/>
  <customSheetViews>
    <customSheetView guid="{AC653BD0-46E3-42CB-9C76-32121A57B65A}">
      <selection activeCell="B1" sqref="B1"/>
      <pageMargins left="0.25" right="0.25" top="0.5" bottom="0.5" header="0.25" footer="0.25"/>
      <pageSetup paperSize="5" scale="98" orientation="portrait" r:id="rId1"/>
      <headerFooter alignWithMargins="0"/>
    </customSheetView>
    <customSheetView guid="{B165479B-DC25-403C-9595-F1A88A4AA9A2}" topLeftCell="A37">
      <selection activeCell="B1" sqref="B1"/>
      <pageMargins left="0.25" right="0.25" top="0.5" bottom="0.5" header="0.25" footer="0.25"/>
      <pageSetup paperSize="5" scale="98" orientation="portrait" r:id="rId2"/>
      <headerFooter alignWithMargins="0"/>
    </customSheetView>
    <customSheetView guid="{A64E4C9E-A3DA-4AAA-8607-F524450B9436}" topLeftCell="A37">
      <selection activeCell="B1" sqref="B1"/>
      <pageMargins left="0.25" right="0.25" top="0.5" bottom="0.5" header="0.25" footer="0.25"/>
      <pageSetup paperSize="5" scale="98" orientation="portrait" r:id="rId3"/>
      <headerFooter alignWithMargins="0"/>
    </customSheetView>
    <customSheetView guid="{AB4FBD91-4533-473A-9702-569FF6402073}" topLeftCell="A37">
      <selection activeCell="B1" sqref="B1"/>
      <pageMargins left="0.25" right="0.25" top="0.5" bottom="0.5" header="0.25" footer="0.25"/>
      <pageSetup paperSize="5" scale="98" orientation="portrait" r:id="rId4"/>
      <headerFooter alignWithMargins="0"/>
    </customSheetView>
  </customSheetViews>
  <mergeCells count="6">
    <mergeCell ref="B49:J49"/>
    <mergeCell ref="B4:J4"/>
    <mergeCell ref="B5:J5"/>
    <mergeCell ref="B7:J7"/>
    <mergeCell ref="B9:G9"/>
    <mergeCell ref="E48:H48"/>
  </mergeCells>
  <pageMargins left="0.25" right="0.25" top="0.5" bottom="0.5" header="0.25" footer="0.25"/>
  <pageSetup paperSize="5" orientation="portrait" r:id="rId5"/>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pageSetUpPr fitToPage="1"/>
  </sheetPr>
  <dimension ref="B4:L52"/>
  <sheetViews>
    <sheetView topLeftCell="A28" zoomScaleNormal="100" zoomScaleSheetLayoutView="90" workbookViewId="0">
      <selection activeCell="B3" sqref="B3:O3"/>
    </sheetView>
  </sheetViews>
  <sheetFormatPr defaultColWidth="9.109375" defaultRowHeight="13.2"/>
  <cols>
    <col min="1" max="3" width="4.6640625" style="322" customWidth="1"/>
    <col min="4" max="6" width="9.109375" style="322"/>
    <col min="7" max="7" width="9.109375" style="322" customWidth="1"/>
    <col min="8" max="9" width="16.6640625" style="322" customWidth="1"/>
    <col min="10" max="10" width="19.5546875" style="322" customWidth="1"/>
    <col min="11" max="16384" width="9.109375" style="322"/>
  </cols>
  <sheetData>
    <row r="4" spans="2:12" ht="22.8">
      <c r="B4" s="1549" t="str">
        <f>'17-Budget Revenues'!B2:J2</f>
        <v>STATEMENT OF GENERAL BUDGET REVENUES 2019</v>
      </c>
      <c r="C4" s="1549"/>
      <c r="D4" s="1549"/>
      <c r="E4" s="1549"/>
      <c r="F4" s="1549"/>
      <c r="G4" s="1549"/>
      <c r="H4" s="1549"/>
      <c r="I4" s="1549"/>
      <c r="J4" s="1549"/>
    </row>
    <row r="5" spans="2:12" ht="13.8">
      <c r="B5" s="1507" t="s">
        <v>343</v>
      </c>
      <c r="C5" s="1507"/>
      <c r="D5" s="1507"/>
      <c r="E5" s="1507"/>
      <c r="F5" s="1507"/>
      <c r="G5" s="1507"/>
      <c r="H5" s="1507"/>
      <c r="I5" s="1507"/>
      <c r="J5" s="1507"/>
    </row>
    <row r="7" spans="2:12" ht="15.6">
      <c r="B7" s="1542" t="s">
        <v>344</v>
      </c>
      <c r="C7" s="1542"/>
      <c r="D7" s="1542"/>
      <c r="E7" s="1542"/>
      <c r="F7" s="1542"/>
      <c r="G7" s="1542"/>
      <c r="H7" s="1542"/>
      <c r="I7" s="1542"/>
      <c r="J7" s="1542"/>
    </row>
    <row r="8" spans="2:12" ht="8.25" customHeight="1" thickBot="1">
      <c r="B8" s="10"/>
      <c r="C8" s="10"/>
      <c r="D8" s="10"/>
      <c r="E8" s="10"/>
      <c r="F8" s="10"/>
      <c r="G8" s="10"/>
      <c r="H8" s="10"/>
      <c r="I8" s="10"/>
      <c r="J8" s="10"/>
    </row>
    <row r="9" spans="2:12" ht="32.1" customHeight="1" thickTop="1" thickBot="1">
      <c r="B9" s="1553" t="s">
        <v>211</v>
      </c>
      <c r="C9" s="1553"/>
      <c r="D9" s="1553"/>
      <c r="E9" s="1553"/>
      <c r="F9" s="1553"/>
      <c r="G9" s="1553"/>
      <c r="H9" s="4" t="s">
        <v>676</v>
      </c>
      <c r="I9" s="4" t="s">
        <v>802</v>
      </c>
      <c r="J9" s="756" t="s">
        <v>345</v>
      </c>
    </row>
    <row r="10" spans="2:12" ht="21.9" customHeight="1" thickTop="1">
      <c r="B10" s="794" t="s">
        <v>3546</v>
      </c>
      <c r="C10" s="283"/>
      <c r="D10" s="283"/>
      <c r="E10" s="283"/>
      <c r="F10" s="283"/>
      <c r="G10" s="283"/>
      <c r="H10" s="63">
        <f>+'17a.2-Budget Revenues'!H43</f>
        <v>30087</v>
      </c>
      <c r="I10" s="63">
        <f>+'17a.2-Budget Revenues'!I43</f>
        <v>30087</v>
      </c>
      <c r="J10" s="64">
        <f>+'17a.2-Budget Revenues'!J43</f>
        <v>0</v>
      </c>
    </row>
    <row r="11" spans="2:12" ht="21.9" customHeight="1">
      <c r="B11" s="567"/>
      <c r="C11" s="566"/>
      <c r="D11" s="566"/>
      <c r="E11" s="566"/>
      <c r="F11" s="566"/>
      <c r="G11" s="566"/>
      <c r="H11" s="372"/>
      <c r="I11" s="372">
        <f t="shared" ref="I11:I42" si="0">+H11</f>
        <v>0</v>
      </c>
      <c r="J11" s="214">
        <f t="shared" ref="J11:J42" si="1">H11-I11</f>
        <v>0</v>
      </c>
      <c r="L11" s="1456" t="s">
        <v>3777</v>
      </c>
    </row>
    <row r="12" spans="2:12" ht="21.9" customHeight="1">
      <c r="B12" s="567"/>
      <c r="C12" s="566"/>
      <c r="D12" s="566"/>
      <c r="E12" s="566"/>
      <c r="F12" s="566"/>
      <c r="G12" s="566"/>
      <c r="H12" s="372"/>
      <c r="I12" s="372">
        <f t="shared" si="0"/>
        <v>0</v>
      </c>
      <c r="J12" s="214">
        <f t="shared" si="1"/>
        <v>0</v>
      </c>
    </row>
    <row r="13" spans="2:12" ht="21.9" customHeight="1">
      <c r="B13" s="567"/>
      <c r="C13" s="566"/>
      <c r="D13" s="566"/>
      <c r="E13" s="566"/>
      <c r="F13" s="566"/>
      <c r="G13" s="566"/>
      <c r="H13" s="372"/>
      <c r="I13" s="372">
        <f t="shared" si="0"/>
        <v>0</v>
      </c>
      <c r="J13" s="214">
        <f t="shared" si="1"/>
        <v>0</v>
      </c>
    </row>
    <row r="14" spans="2:12" ht="21.9" customHeight="1">
      <c r="B14" s="567"/>
      <c r="C14" s="566"/>
      <c r="D14" s="566"/>
      <c r="E14" s="566"/>
      <c r="F14" s="566"/>
      <c r="G14" s="566"/>
      <c r="H14" s="372"/>
      <c r="I14" s="372">
        <f t="shared" si="0"/>
        <v>0</v>
      </c>
      <c r="J14" s="214">
        <f t="shared" si="1"/>
        <v>0</v>
      </c>
    </row>
    <row r="15" spans="2:12" ht="21.9" customHeight="1">
      <c r="B15" s="567"/>
      <c r="C15" s="566"/>
      <c r="D15" s="566"/>
      <c r="E15" s="566"/>
      <c r="F15" s="566"/>
      <c r="G15" s="566"/>
      <c r="H15" s="372"/>
      <c r="I15" s="372">
        <f t="shared" si="0"/>
        <v>0</v>
      </c>
      <c r="J15" s="214">
        <f t="shared" si="1"/>
        <v>0</v>
      </c>
    </row>
    <row r="16" spans="2:12" ht="21.9" customHeight="1">
      <c r="B16" s="567"/>
      <c r="C16" s="566"/>
      <c r="D16" s="566"/>
      <c r="E16" s="566"/>
      <c r="F16" s="566"/>
      <c r="G16" s="566"/>
      <c r="H16" s="372"/>
      <c r="I16" s="372">
        <f t="shared" si="0"/>
        <v>0</v>
      </c>
      <c r="J16" s="214">
        <f t="shared" si="1"/>
        <v>0</v>
      </c>
    </row>
    <row r="17" spans="2:10" ht="21.9" customHeight="1">
      <c r="B17" s="567"/>
      <c r="C17" s="566"/>
      <c r="D17" s="566"/>
      <c r="E17" s="566"/>
      <c r="F17" s="566"/>
      <c r="G17" s="566"/>
      <c r="H17" s="372"/>
      <c r="I17" s="372">
        <f t="shared" si="0"/>
        <v>0</v>
      </c>
      <c r="J17" s="214">
        <f t="shared" si="1"/>
        <v>0</v>
      </c>
    </row>
    <row r="18" spans="2:10" ht="21.9" customHeight="1">
      <c r="B18" s="567"/>
      <c r="C18" s="566"/>
      <c r="D18" s="566"/>
      <c r="E18" s="566"/>
      <c r="F18" s="566"/>
      <c r="G18" s="566"/>
      <c r="H18" s="372"/>
      <c r="I18" s="372">
        <f t="shared" si="0"/>
        <v>0</v>
      </c>
      <c r="J18" s="214">
        <f t="shared" si="1"/>
        <v>0</v>
      </c>
    </row>
    <row r="19" spans="2:10" ht="21.9" customHeight="1">
      <c r="B19" s="567"/>
      <c r="C19" s="566"/>
      <c r="D19" s="566"/>
      <c r="E19" s="566"/>
      <c r="F19" s="566"/>
      <c r="G19" s="566"/>
      <c r="H19" s="372"/>
      <c r="I19" s="372">
        <f t="shared" si="0"/>
        <v>0</v>
      </c>
      <c r="J19" s="214">
        <f t="shared" si="1"/>
        <v>0</v>
      </c>
    </row>
    <row r="20" spans="2:10" ht="21.9" customHeight="1">
      <c r="B20" s="567"/>
      <c r="C20" s="566"/>
      <c r="D20" s="566"/>
      <c r="E20" s="566"/>
      <c r="F20" s="566"/>
      <c r="G20" s="566"/>
      <c r="H20" s="372"/>
      <c r="I20" s="372">
        <f t="shared" si="0"/>
        <v>0</v>
      </c>
      <c r="J20" s="214">
        <f t="shared" si="1"/>
        <v>0</v>
      </c>
    </row>
    <row r="21" spans="2:10" ht="21.9" customHeight="1">
      <c r="B21" s="567"/>
      <c r="C21" s="566"/>
      <c r="D21" s="566"/>
      <c r="E21" s="566"/>
      <c r="F21" s="566"/>
      <c r="G21" s="566"/>
      <c r="H21" s="372"/>
      <c r="I21" s="372">
        <f t="shared" si="0"/>
        <v>0</v>
      </c>
      <c r="J21" s="214">
        <f t="shared" si="1"/>
        <v>0</v>
      </c>
    </row>
    <row r="22" spans="2:10" ht="21.9" customHeight="1">
      <c r="B22" s="567"/>
      <c r="C22" s="566"/>
      <c r="D22" s="566"/>
      <c r="E22" s="566"/>
      <c r="F22" s="566"/>
      <c r="G22" s="566"/>
      <c r="H22" s="372"/>
      <c r="I22" s="372">
        <f t="shared" si="0"/>
        <v>0</v>
      </c>
      <c r="J22" s="214">
        <f t="shared" si="1"/>
        <v>0</v>
      </c>
    </row>
    <row r="23" spans="2:10" ht="21.9" customHeight="1">
      <c r="B23" s="567"/>
      <c r="C23" s="566"/>
      <c r="D23" s="566"/>
      <c r="E23" s="566"/>
      <c r="F23" s="566"/>
      <c r="G23" s="566"/>
      <c r="H23" s="372"/>
      <c r="I23" s="372">
        <f t="shared" si="0"/>
        <v>0</v>
      </c>
      <c r="J23" s="214">
        <f t="shared" si="1"/>
        <v>0</v>
      </c>
    </row>
    <row r="24" spans="2:10" ht="21.9" customHeight="1">
      <c r="B24" s="567"/>
      <c r="C24" s="566"/>
      <c r="D24" s="566"/>
      <c r="E24" s="566"/>
      <c r="F24" s="566"/>
      <c r="G24" s="566"/>
      <c r="H24" s="372"/>
      <c r="I24" s="372">
        <f t="shared" si="0"/>
        <v>0</v>
      </c>
      <c r="J24" s="214">
        <f t="shared" si="1"/>
        <v>0</v>
      </c>
    </row>
    <row r="25" spans="2:10" ht="21.9" customHeight="1">
      <c r="B25" s="567"/>
      <c r="C25" s="566"/>
      <c r="D25" s="566"/>
      <c r="E25" s="566"/>
      <c r="F25" s="566"/>
      <c r="G25" s="566"/>
      <c r="H25" s="372"/>
      <c r="I25" s="372">
        <f t="shared" si="0"/>
        <v>0</v>
      </c>
      <c r="J25" s="214">
        <f t="shared" si="1"/>
        <v>0</v>
      </c>
    </row>
    <row r="26" spans="2:10" ht="21.9" customHeight="1">
      <c r="B26" s="567"/>
      <c r="C26" s="566"/>
      <c r="D26" s="566"/>
      <c r="E26" s="566"/>
      <c r="F26" s="566"/>
      <c r="G26" s="566"/>
      <c r="H26" s="372"/>
      <c r="I26" s="372">
        <f t="shared" si="0"/>
        <v>0</v>
      </c>
      <c r="J26" s="214">
        <f t="shared" si="1"/>
        <v>0</v>
      </c>
    </row>
    <row r="27" spans="2:10" ht="21.9" customHeight="1">
      <c r="B27" s="567"/>
      <c r="C27" s="566"/>
      <c r="D27" s="566"/>
      <c r="E27" s="566"/>
      <c r="F27" s="566"/>
      <c r="G27" s="566"/>
      <c r="H27" s="372"/>
      <c r="I27" s="372">
        <f t="shared" si="0"/>
        <v>0</v>
      </c>
      <c r="J27" s="214">
        <f t="shared" si="1"/>
        <v>0</v>
      </c>
    </row>
    <row r="28" spans="2:10" ht="21.9" customHeight="1">
      <c r="B28" s="567"/>
      <c r="C28" s="566"/>
      <c r="D28" s="566"/>
      <c r="E28" s="566"/>
      <c r="F28" s="566"/>
      <c r="G28" s="566"/>
      <c r="H28" s="372"/>
      <c r="I28" s="372">
        <f t="shared" si="0"/>
        <v>0</v>
      </c>
      <c r="J28" s="214">
        <f t="shared" si="1"/>
        <v>0</v>
      </c>
    </row>
    <row r="29" spans="2:10" ht="21.9" customHeight="1">
      <c r="B29" s="567"/>
      <c r="C29" s="566"/>
      <c r="D29" s="566"/>
      <c r="E29" s="566"/>
      <c r="F29" s="566"/>
      <c r="G29" s="566"/>
      <c r="H29" s="372"/>
      <c r="I29" s="372">
        <f t="shared" si="0"/>
        <v>0</v>
      </c>
      <c r="J29" s="214">
        <f t="shared" si="1"/>
        <v>0</v>
      </c>
    </row>
    <row r="30" spans="2:10" ht="21.9" customHeight="1">
      <c r="B30" s="567"/>
      <c r="C30" s="566"/>
      <c r="D30" s="566"/>
      <c r="E30" s="566"/>
      <c r="F30" s="566"/>
      <c r="G30" s="566"/>
      <c r="H30" s="372"/>
      <c r="I30" s="372">
        <f t="shared" si="0"/>
        <v>0</v>
      </c>
      <c r="J30" s="214">
        <f t="shared" si="1"/>
        <v>0</v>
      </c>
    </row>
    <row r="31" spans="2:10" ht="21.9" customHeight="1">
      <c r="B31" s="567"/>
      <c r="C31" s="566"/>
      <c r="D31" s="566"/>
      <c r="E31" s="566"/>
      <c r="F31" s="566"/>
      <c r="G31" s="566"/>
      <c r="H31" s="372"/>
      <c r="I31" s="372">
        <f t="shared" si="0"/>
        <v>0</v>
      </c>
      <c r="J31" s="214">
        <f t="shared" si="1"/>
        <v>0</v>
      </c>
    </row>
    <row r="32" spans="2:10" ht="21.9" customHeight="1">
      <c r="B32" s="567"/>
      <c r="C32" s="566"/>
      <c r="D32" s="566"/>
      <c r="E32" s="566"/>
      <c r="F32" s="566"/>
      <c r="G32" s="566"/>
      <c r="H32" s="372"/>
      <c r="I32" s="372">
        <f t="shared" si="0"/>
        <v>0</v>
      </c>
      <c r="J32" s="214">
        <f t="shared" si="1"/>
        <v>0</v>
      </c>
    </row>
    <row r="33" spans="2:11" ht="21.9" customHeight="1">
      <c r="B33" s="567"/>
      <c r="C33" s="566"/>
      <c r="D33" s="566"/>
      <c r="E33" s="566"/>
      <c r="F33" s="566"/>
      <c r="G33" s="566"/>
      <c r="H33" s="372"/>
      <c r="I33" s="372">
        <f t="shared" si="0"/>
        <v>0</v>
      </c>
      <c r="J33" s="214">
        <f t="shared" si="1"/>
        <v>0</v>
      </c>
    </row>
    <row r="34" spans="2:11" ht="21.9" customHeight="1">
      <c r="B34" s="567"/>
      <c r="C34" s="566"/>
      <c r="D34" s="566"/>
      <c r="E34" s="566"/>
      <c r="F34" s="566"/>
      <c r="G34" s="566"/>
      <c r="H34" s="372"/>
      <c r="I34" s="372">
        <f t="shared" si="0"/>
        <v>0</v>
      </c>
      <c r="J34" s="214">
        <f t="shared" si="1"/>
        <v>0</v>
      </c>
    </row>
    <row r="35" spans="2:11" ht="21.9" customHeight="1">
      <c r="B35" s="567"/>
      <c r="C35" s="566"/>
      <c r="D35" s="566"/>
      <c r="E35" s="566"/>
      <c r="F35" s="566"/>
      <c r="G35" s="566"/>
      <c r="H35" s="372"/>
      <c r="I35" s="372">
        <f t="shared" si="0"/>
        <v>0</v>
      </c>
      <c r="J35" s="214">
        <f t="shared" si="1"/>
        <v>0</v>
      </c>
    </row>
    <row r="36" spans="2:11" ht="21.9" customHeight="1">
      <c r="B36" s="567"/>
      <c r="C36" s="566"/>
      <c r="D36" s="566"/>
      <c r="E36" s="566"/>
      <c r="F36" s="566"/>
      <c r="G36" s="566"/>
      <c r="H36" s="372"/>
      <c r="I36" s="372">
        <f t="shared" si="0"/>
        <v>0</v>
      </c>
      <c r="J36" s="214">
        <f t="shared" si="1"/>
        <v>0</v>
      </c>
    </row>
    <row r="37" spans="2:11" ht="21.9" customHeight="1">
      <c r="B37" s="567"/>
      <c r="C37" s="566"/>
      <c r="D37" s="566"/>
      <c r="E37" s="566"/>
      <c r="F37" s="566"/>
      <c r="G37" s="566"/>
      <c r="H37" s="372"/>
      <c r="I37" s="372">
        <f t="shared" si="0"/>
        <v>0</v>
      </c>
      <c r="J37" s="214">
        <f t="shared" si="1"/>
        <v>0</v>
      </c>
    </row>
    <row r="38" spans="2:11" ht="21.9" customHeight="1">
      <c r="B38" s="567"/>
      <c r="C38" s="566"/>
      <c r="D38" s="566"/>
      <c r="E38" s="566"/>
      <c r="F38" s="566"/>
      <c r="G38" s="566"/>
      <c r="H38" s="372"/>
      <c r="I38" s="372">
        <f t="shared" si="0"/>
        <v>0</v>
      </c>
      <c r="J38" s="214">
        <f t="shared" si="1"/>
        <v>0</v>
      </c>
    </row>
    <row r="39" spans="2:11" ht="21.9" customHeight="1">
      <c r="B39" s="567"/>
      <c r="C39" s="566"/>
      <c r="D39" s="566"/>
      <c r="E39" s="566"/>
      <c r="F39" s="566"/>
      <c r="G39" s="566"/>
      <c r="H39" s="372"/>
      <c r="I39" s="372">
        <f t="shared" si="0"/>
        <v>0</v>
      </c>
      <c r="J39" s="214">
        <f t="shared" si="1"/>
        <v>0</v>
      </c>
    </row>
    <row r="40" spans="2:11" ht="21.9" customHeight="1">
      <c r="B40" s="567"/>
      <c r="C40" s="566"/>
      <c r="D40" s="566"/>
      <c r="E40" s="566"/>
      <c r="F40" s="566"/>
      <c r="G40" s="566"/>
      <c r="H40" s="372"/>
      <c r="I40" s="372">
        <f t="shared" si="0"/>
        <v>0</v>
      </c>
      <c r="J40" s="214">
        <f t="shared" si="1"/>
        <v>0</v>
      </c>
    </row>
    <row r="41" spans="2:11" ht="21.9" customHeight="1">
      <c r="B41" s="567"/>
      <c r="C41" s="566"/>
      <c r="D41" s="566"/>
      <c r="E41" s="566"/>
      <c r="F41" s="566"/>
      <c r="G41" s="566"/>
      <c r="H41" s="372"/>
      <c r="I41" s="372">
        <f t="shared" si="0"/>
        <v>0</v>
      </c>
      <c r="J41" s="214">
        <f t="shared" si="1"/>
        <v>0</v>
      </c>
    </row>
    <row r="42" spans="2:11" ht="21.9" customHeight="1">
      <c r="B42" s="567"/>
      <c r="C42" s="566"/>
      <c r="D42" s="566"/>
      <c r="E42" s="566"/>
      <c r="F42" s="566"/>
      <c r="G42" s="566"/>
      <c r="H42" s="372"/>
      <c r="I42" s="372">
        <f t="shared" si="0"/>
        <v>0</v>
      </c>
      <c r="J42" s="214">
        <f t="shared" si="1"/>
        <v>0</v>
      </c>
    </row>
    <row r="43" spans="2:11" ht="21.9" customHeight="1" thickBot="1">
      <c r="B43" s="27"/>
      <c r="C43" s="328" t="s">
        <v>3545</v>
      </c>
      <c r="D43" s="27"/>
      <c r="E43" s="27"/>
      <c r="F43" s="27"/>
      <c r="G43" s="27"/>
      <c r="H43" s="105">
        <f>SUM(H10:H42)</f>
        <v>30087</v>
      </c>
      <c r="I43" s="105">
        <f>SUM(I10:I42)</f>
        <v>30087</v>
      </c>
      <c r="J43" s="239">
        <f>SUM(J10:J42)</f>
        <v>0</v>
      </c>
      <c r="K43" s="325"/>
    </row>
    <row r="44" spans="2:11" ht="13.8" thickTop="1">
      <c r="B44" s="322" t="s">
        <v>360</v>
      </c>
    </row>
    <row r="45" spans="2:11">
      <c r="B45" s="322" t="s">
        <v>361</v>
      </c>
    </row>
    <row r="46" spans="2:11">
      <c r="B46" s="322" t="s">
        <v>362</v>
      </c>
      <c r="H46" s="325"/>
    </row>
    <row r="48" spans="2:11">
      <c r="B48" s="322" t="s">
        <v>363</v>
      </c>
      <c r="E48" s="1533"/>
      <c r="F48" s="1533"/>
      <c r="G48" s="1533"/>
      <c r="H48" s="1533"/>
    </row>
    <row r="49" spans="2:10" ht="13.8">
      <c r="B49" s="1507" t="s">
        <v>3616</v>
      </c>
      <c r="C49" s="1507"/>
      <c r="D49" s="1507"/>
      <c r="E49" s="1507"/>
      <c r="F49" s="1507"/>
      <c r="G49" s="1507"/>
      <c r="H49" s="1507"/>
      <c r="I49" s="1507"/>
      <c r="J49" s="1507"/>
    </row>
    <row r="52" spans="2:10">
      <c r="I52" s="325"/>
    </row>
  </sheetData>
  <sheetProtection algorithmName="SHA-512" hashValue="RWjE31OLS354lic3HpfiQBBGp7jH6rxfsKvCS225bPrJQtQmrV2+9m3EHTn4EwlT85i2FVottpzfbpycG4W00Q==" saltValue="8EJx/OFjQujDLttrBbtIWg==" spinCount="100000" sheet="1" objects="1" scenarios="1"/>
  <customSheetViews>
    <customSheetView guid="{AC653BD0-46E3-42CB-9C76-32121A57B65A}">
      <selection activeCell="B1" sqref="B1"/>
      <pageMargins left="0.25" right="0.25" top="0.5" bottom="0.5" header="0.25" footer="0.25"/>
      <pageSetup paperSize="5" scale="98" orientation="portrait" r:id="rId1"/>
      <headerFooter alignWithMargins="0"/>
    </customSheetView>
    <customSheetView guid="{B165479B-DC25-403C-9595-F1A88A4AA9A2}">
      <selection activeCell="B1" sqref="B1"/>
      <pageMargins left="0.25" right="0.25" top="0.5" bottom="0.5" header="0.25" footer="0.25"/>
      <pageSetup paperSize="5" scale="98" orientation="portrait" r:id="rId2"/>
      <headerFooter alignWithMargins="0"/>
    </customSheetView>
    <customSheetView guid="{A64E4C9E-A3DA-4AAA-8607-F524450B9436}">
      <selection activeCell="B1" sqref="B1"/>
      <pageMargins left="0.25" right="0.25" top="0.5" bottom="0.5" header="0.25" footer="0.25"/>
      <pageSetup paperSize="5" scale="98" orientation="portrait" r:id="rId3"/>
      <headerFooter alignWithMargins="0"/>
    </customSheetView>
    <customSheetView guid="{AB4FBD91-4533-473A-9702-569FF6402073}" topLeftCell="A28">
      <selection activeCell="B1" sqref="B1"/>
      <pageMargins left="0.25" right="0.25" top="0.5" bottom="0.5" header="0.25" footer="0.25"/>
      <pageSetup paperSize="5" scale="98" orientation="portrait" r:id="rId4"/>
      <headerFooter alignWithMargins="0"/>
    </customSheetView>
  </customSheetViews>
  <mergeCells count="6">
    <mergeCell ref="B49:J49"/>
    <mergeCell ref="B4:J4"/>
    <mergeCell ref="B5:J5"/>
    <mergeCell ref="B7:J7"/>
    <mergeCell ref="B9:G9"/>
    <mergeCell ref="E48:H48"/>
  </mergeCells>
  <pageMargins left="0.25" right="0.25" top="0.5" bottom="0.5" header="0.25" footer="0.25"/>
  <pageSetup paperSize="5" orientation="portrait" r:id="rId5"/>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pageSetUpPr fitToPage="1"/>
  </sheetPr>
  <dimension ref="B4:L52"/>
  <sheetViews>
    <sheetView topLeftCell="A31" zoomScaleNormal="100" zoomScaleSheetLayoutView="90" workbookViewId="0">
      <selection activeCell="B49" sqref="B49:J49"/>
    </sheetView>
  </sheetViews>
  <sheetFormatPr defaultColWidth="9.109375" defaultRowHeight="13.2"/>
  <cols>
    <col min="1" max="3" width="4.6640625" style="322" customWidth="1"/>
    <col min="4" max="6" width="9.109375" style="322"/>
    <col min="7" max="7" width="9.109375" style="322" customWidth="1"/>
    <col min="8" max="9" width="16.6640625" style="322" customWidth="1"/>
    <col min="10" max="10" width="19.5546875" style="322" customWidth="1"/>
    <col min="11" max="16384" width="9.109375" style="322"/>
  </cols>
  <sheetData>
    <row r="4" spans="2:12" ht="22.8">
      <c r="B4" s="1549" t="str">
        <f>'17-Budget Revenues'!B2:J2</f>
        <v>STATEMENT OF GENERAL BUDGET REVENUES 2019</v>
      </c>
      <c r="C4" s="1549"/>
      <c r="D4" s="1549"/>
      <c r="E4" s="1549"/>
      <c r="F4" s="1549"/>
      <c r="G4" s="1549"/>
      <c r="H4" s="1549"/>
      <c r="I4" s="1549"/>
      <c r="J4" s="1549"/>
    </row>
    <row r="5" spans="2:12" ht="13.8">
      <c r="B5" s="1507" t="s">
        <v>343</v>
      </c>
      <c r="C5" s="1507"/>
      <c r="D5" s="1507"/>
      <c r="E5" s="1507"/>
      <c r="F5" s="1507"/>
      <c r="G5" s="1507"/>
      <c r="H5" s="1507"/>
      <c r="I5" s="1507"/>
      <c r="J5" s="1507"/>
    </row>
    <row r="7" spans="2:12" ht="15.6">
      <c r="B7" s="1542" t="s">
        <v>344</v>
      </c>
      <c r="C7" s="1542"/>
      <c r="D7" s="1542"/>
      <c r="E7" s="1542"/>
      <c r="F7" s="1542"/>
      <c r="G7" s="1542"/>
      <c r="H7" s="1542"/>
      <c r="I7" s="1542"/>
      <c r="J7" s="1542"/>
    </row>
    <row r="8" spans="2:12" ht="8.25" customHeight="1" thickBot="1">
      <c r="B8" s="10"/>
      <c r="C8" s="10"/>
      <c r="D8" s="10"/>
      <c r="E8" s="10"/>
      <c r="F8" s="10"/>
      <c r="G8" s="10"/>
      <c r="H8" s="10"/>
      <c r="I8" s="10"/>
      <c r="J8" s="10"/>
    </row>
    <row r="9" spans="2:12" ht="32.1" customHeight="1" thickTop="1" thickBot="1">
      <c r="B9" s="1553" t="s">
        <v>211</v>
      </c>
      <c r="C9" s="1553"/>
      <c r="D9" s="1553"/>
      <c r="E9" s="1553"/>
      <c r="F9" s="1553"/>
      <c r="G9" s="1553"/>
      <c r="H9" s="4" t="s">
        <v>676</v>
      </c>
      <c r="I9" s="4" t="s">
        <v>802</v>
      </c>
      <c r="J9" s="756" t="s">
        <v>345</v>
      </c>
    </row>
    <row r="10" spans="2:12" ht="21.9" customHeight="1" thickTop="1">
      <c r="B10" s="794" t="s">
        <v>3546</v>
      </c>
      <c r="C10" s="283"/>
      <c r="D10" s="283"/>
      <c r="E10" s="283"/>
      <c r="F10" s="283"/>
      <c r="G10" s="283"/>
      <c r="H10" s="63">
        <f>+'17a.3-Budget Revenues'!H43</f>
        <v>30087</v>
      </c>
      <c r="I10" s="63">
        <f>+'17a.3-Budget Revenues'!I43</f>
        <v>30087</v>
      </c>
      <c r="J10" s="64">
        <f>+'17a.3-Budget Revenues'!J43</f>
        <v>0</v>
      </c>
    </row>
    <row r="11" spans="2:12" ht="21.9" customHeight="1">
      <c r="B11" s="567"/>
      <c r="C11" s="566"/>
      <c r="D11" s="566"/>
      <c r="E11" s="566"/>
      <c r="F11" s="566"/>
      <c r="G11" s="566"/>
      <c r="H11" s="372"/>
      <c r="I11" s="372">
        <f t="shared" ref="I11:I42" si="0">+H11</f>
        <v>0</v>
      </c>
      <c r="J11" s="214">
        <f t="shared" ref="J11:J42" si="1">H11-I11</f>
        <v>0</v>
      </c>
      <c r="L11" s="1456" t="s">
        <v>3777</v>
      </c>
    </row>
    <row r="12" spans="2:12" ht="21.9" customHeight="1">
      <c r="B12" s="567"/>
      <c r="C12" s="566"/>
      <c r="D12" s="566"/>
      <c r="E12" s="566"/>
      <c r="F12" s="566"/>
      <c r="G12" s="566"/>
      <c r="H12" s="372"/>
      <c r="I12" s="372">
        <f t="shared" si="0"/>
        <v>0</v>
      </c>
      <c r="J12" s="214">
        <f t="shared" si="1"/>
        <v>0</v>
      </c>
    </row>
    <row r="13" spans="2:12" ht="21.9" customHeight="1">
      <c r="B13" s="567"/>
      <c r="C13" s="566"/>
      <c r="D13" s="566"/>
      <c r="E13" s="566"/>
      <c r="F13" s="566"/>
      <c r="G13" s="566"/>
      <c r="H13" s="372"/>
      <c r="I13" s="372">
        <f t="shared" si="0"/>
        <v>0</v>
      </c>
      <c r="J13" s="214">
        <f t="shared" si="1"/>
        <v>0</v>
      </c>
    </row>
    <row r="14" spans="2:12" ht="21.9" customHeight="1">
      <c r="B14" s="567"/>
      <c r="C14" s="566"/>
      <c r="D14" s="566"/>
      <c r="E14" s="566"/>
      <c r="F14" s="566"/>
      <c r="G14" s="566"/>
      <c r="H14" s="372"/>
      <c r="I14" s="372">
        <f t="shared" si="0"/>
        <v>0</v>
      </c>
      <c r="J14" s="214">
        <f t="shared" si="1"/>
        <v>0</v>
      </c>
    </row>
    <row r="15" spans="2:12" ht="21.9" customHeight="1">
      <c r="B15" s="567"/>
      <c r="C15" s="566"/>
      <c r="D15" s="566"/>
      <c r="E15" s="566"/>
      <c r="F15" s="566"/>
      <c r="G15" s="566"/>
      <c r="H15" s="372"/>
      <c r="I15" s="372">
        <f t="shared" si="0"/>
        <v>0</v>
      </c>
      <c r="J15" s="214">
        <f t="shared" si="1"/>
        <v>0</v>
      </c>
    </row>
    <row r="16" spans="2:12" ht="21.9" customHeight="1">
      <c r="B16" s="567"/>
      <c r="C16" s="566"/>
      <c r="D16" s="566"/>
      <c r="E16" s="566"/>
      <c r="F16" s="566"/>
      <c r="G16" s="566"/>
      <c r="H16" s="372"/>
      <c r="I16" s="372">
        <f t="shared" si="0"/>
        <v>0</v>
      </c>
      <c r="J16" s="214">
        <f t="shared" si="1"/>
        <v>0</v>
      </c>
    </row>
    <row r="17" spans="2:10" ht="21.9" customHeight="1">
      <c r="B17" s="567"/>
      <c r="C17" s="566"/>
      <c r="D17" s="566"/>
      <c r="E17" s="566"/>
      <c r="F17" s="566"/>
      <c r="G17" s="566"/>
      <c r="H17" s="372"/>
      <c r="I17" s="372">
        <f t="shared" si="0"/>
        <v>0</v>
      </c>
      <c r="J17" s="214">
        <f t="shared" si="1"/>
        <v>0</v>
      </c>
    </row>
    <row r="18" spans="2:10" ht="21.9" customHeight="1">
      <c r="B18" s="567"/>
      <c r="C18" s="566"/>
      <c r="D18" s="566"/>
      <c r="E18" s="566"/>
      <c r="F18" s="566"/>
      <c r="G18" s="566"/>
      <c r="H18" s="372"/>
      <c r="I18" s="372">
        <f t="shared" si="0"/>
        <v>0</v>
      </c>
      <c r="J18" s="214">
        <f t="shared" si="1"/>
        <v>0</v>
      </c>
    </row>
    <row r="19" spans="2:10" ht="21.9" customHeight="1">
      <c r="B19" s="567"/>
      <c r="C19" s="566"/>
      <c r="D19" s="566"/>
      <c r="E19" s="566"/>
      <c r="F19" s="566"/>
      <c r="G19" s="566"/>
      <c r="H19" s="372"/>
      <c r="I19" s="372">
        <f t="shared" si="0"/>
        <v>0</v>
      </c>
      <c r="J19" s="214">
        <f t="shared" si="1"/>
        <v>0</v>
      </c>
    </row>
    <row r="20" spans="2:10" ht="21.9" customHeight="1">
      <c r="B20" s="567"/>
      <c r="C20" s="566"/>
      <c r="D20" s="566"/>
      <c r="E20" s="566"/>
      <c r="F20" s="566"/>
      <c r="G20" s="566"/>
      <c r="H20" s="372"/>
      <c r="I20" s="372">
        <f t="shared" si="0"/>
        <v>0</v>
      </c>
      <c r="J20" s="214">
        <f t="shared" si="1"/>
        <v>0</v>
      </c>
    </row>
    <row r="21" spans="2:10" ht="21.9" customHeight="1">
      <c r="B21" s="567"/>
      <c r="C21" s="566"/>
      <c r="D21" s="566"/>
      <c r="E21" s="566"/>
      <c r="F21" s="566"/>
      <c r="G21" s="566"/>
      <c r="H21" s="372"/>
      <c r="I21" s="372">
        <f t="shared" si="0"/>
        <v>0</v>
      </c>
      <c r="J21" s="214">
        <f t="shared" si="1"/>
        <v>0</v>
      </c>
    </row>
    <row r="22" spans="2:10" ht="21.9" customHeight="1">
      <c r="B22" s="567"/>
      <c r="C22" s="566"/>
      <c r="D22" s="566"/>
      <c r="E22" s="566"/>
      <c r="F22" s="566"/>
      <c r="G22" s="566"/>
      <c r="H22" s="372"/>
      <c r="I22" s="372">
        <f t="shared" si="0"/>
        <v>0</v>
      </c>
      <c r="J22" s="214">
        <f t="shared" si="1"/>
        <v>0</v>
      </c>
    </row>
    <row r="23" spans="2:10" ht="21.9" customHeight="1">
      <c r="B23" s="567"/>
      <c r="C23" s="566"/>
      <c r="D23" s="566"/>
      <c r="E23" s="566"/>
      <c r="F23" s="566"/>
      <c r="G23" s="566"/>
      <c r="H23" s="372"/>
      <c r="I23" s="372">
        <f t="shared" si="0"/>
        <v>0</v>
      </c>
      <c r="J23" s="214">
        <f t="shared" si="1"/>
        <v>0</v>
      </c>
    </row>
    <row r="24" spans="2:10" ht="21.9" customHeight="1">
      <c r="B24" s="567"/>
      <c r="C24" s="566"/>
      <c r="D24" s="566"/>
      <c r="E24" s="566"/>
      <c r="F24" s="566"/>
      <c r="G24" s="566"/>
      <c r="H24" s="372"/>
      <c r="I24" s="372">
        <f t="shared" si="0"/>
        <v>0</v>
      </c>
      <c r="J24" s="214">
        <f t="shared" si="1"/>
        <v>0</v>
      </c>
    </row>
    <row r="25" spans="2:10" ht="21.9" customHeight="1">
      <c r="B25" s="567"/>
      <c r="C25" s="566"/>
      <c r="D25" s="566"/>
      <c r="E25" s="566"/>
      <c r="F25" s="566"/>
      <c r="G25" s="566"/>
      <c r="H25" s="372"/>
      <c r="I25" s="372">
        <f t="shared" si="0"/>
        <v>0</v>
      </c>
      <c r="J25" s="214">
        <f t="shared" si="1"/>
        <v>0</v>
      </c>
    </row>
    <row r="26" spans="2:10" ht="21.9" customHeight="1">
      <c r="B26" s="567"/>
      <c r="C26" s="566"/>
      <c r="D26" s="566"/>
      <c r="E26" s="566"/>
      <c r="F26" s="566"/>
      <c r="G26" s="566"/>
      <c r="H26" s="372"/>
      <c r="I26" s="372">
        <f t="shared" si="0"/>
        <v>0</v>
      </c>
      <c r="J26" s="214">
        <f t="shared" si="1"/>
        <v>0</v>
      </c>
    </row>
    <row r="27" spans="2:10" ht="21.9" customHeight="1">
      <c r="B27" s="567"/>
      <c r="C27" s="566"/>
      <c r="D27" s="566"/>
      <c r="E27" s="566"/>
      <c r="F27" s="566"/>
      <c r="G27" s="566"/>
      <c r="H27" s="372"/>
      <c r="I27" s="372">
        <f t="shared" si="0"/>
        <v>0</v>
      </c>
      <c r="J27" s="214">
        <f t="shared" si="1"/>
        <v>0</v>
      </c>
    </row>
    <row r="28" spans="2:10" ht="21.9" customHeight="1">
      <c r="B28" s="567"/>
      <c r="C28" s="566"/>
      <c r="D28" s="566"/>
      <c r="E28" s="566"/>
      <c r="F28" s="566"/>
      <c r="G28" s="566"/>
      <c r="H28" s="372"/>
      <c r="I28" s="372">
        <f t="shared" si="0"/>
        <v>0</v>
      </c>
      <c r="J28" s="214">
        <f t="shared" si="1"/>
        <v>0</v>
      </c>
    </row>
    <row r="29" spans="2:10" ht="21.9" customHeight="1">
      <c r="B29" s="567"/>
      <c r="C29" s="566"/>
      <c r="D29" s="566"/>
      <c r="E29" s="566"/>
      <c r="F29" s="566"/>
      <c r="G29" s="566"/>
      <c r="H29" s="372"/>
      <c r="I29" s="372">
        <f t="shared" si="0"/>
        <v>0</v>
      </c>
      <c r="J29" s="214">
        <f t="shared" si="1"/>
        <v>0</v>
      </c>
    </row>
    <row r="30" spans="2:10" ht="21.9" customHeight="1">
      <c r="B30" s="567"/>
      <c r="C30" s="566"/>
      <c r="D30" s="566"/>
      <c r="E30" s="566"/>
      <c r="F30" s="566"/>
      <c r="G30" s="566"/>
      <c r="H30" s="372"/>
      <c r="I30" s="372">
        <f t="shared" si="0"/>
        <v>0</v>
      </c>
      <c r="J30" s="214">
        <f t="shared" si="1"/>
        <v>0</v>
      </c>
    </row>
    <row r="31" spans="2:10" ht="21.9" customHeight="1">
      <c r="B31" s="567"/>
      <c r="C31" s="566"/>
      <c r="D31" s="566"/>
      <c r="E31" s="566"/>
      <c r="F31" s="566"/>
      <c r="G31" s="566"/>
      <c r="H31" s="372"/>
      <c r="I31" s="372">
        <f t="shared" si="0"/>
        <v>0</v>
      </c>
      <c r="J31" s="214">
        <f t="shared" si="1"/>
        <v>0</v>
      </c>
    </row>
    <row r="32" spans="2:10" ht="21.9" customHeight="1">
      <c r="B32" s="567"/>
      <c r="C32" s="566"/>
      <c r="D32" s="566"/>
      <c r="E32" s="566"/>
      <c r="F32" s="566"/>
      <c r="G32" s="566"/>
      <c r="H32" s="372"/>
      <c r="I32" s="372">
        <f t="shared" si="0"/>
        <v>0</v>
      </c>
      <c r="J32" s="214">
        <f t="shared" si="1"/>
        <v>0</v>
      </c>
    </row>
    <row r="33" spans="2:11" ht="21.9" customHeight="1">
      <c r="B33" s="567"/>
      <c r="C33" s="566"/>
      <c r="D33" s="566"/>
      <c r="E33" s="566"/>
      <c r="F33" s="566"/>
      <c r="G33" s="566"/>
      <c r="H33" s="372"/>
      <c r="I33" s="372">
        <f t="shared" si="0"/>
        <v>0</v>
      </c>
      <c r="J33" s="214">
        <f t="shared" si="1"/>
        <v>0</v>
      </c>
    </row>
    <row r="34" spans="2:11" ht="21.9" customHeight="1">
      <c r="B34" s="567"/>
      <c r="C34" s="566"/>
      <c r="D34" s="566"/>
      <c r="E34" s="566"/>
      <c r="F34" s="566"/>
      <c r="G34" s="566"/>
      <c r="H34" s="372"/>
      <c r="I34" s="372">
        <f t="shared" si="0"/>
        <v>0</v>
      </c>
      <c r="J34" s="214">
        <f t="shared" si="1"/>
        <v>0</v>
      </c>
    </row>
    <row r="35" spans="2:11" ht="21.9" customHeight="1">
      <c r="B35" s="567"/>
      <c r="C35" s="566"/>
      <c r="D35" s="566"/>
      <c r="E35" s="566"/>
      <c r="F35" s="566"/>
      <c r="G35" s="566"/>
      <c r="H35" s="372"/>
      <c r="I35" s="372">
        <f t="shared" si="0"/>
        <v>0</v>
      </c>
      <c r="J35" s="214">
        <f t="shared" si="1"/>
        <v>0</v>
      </c>
    </row>
    <row r="36" spans="2:11" ht="21.9" customHeight="1">
      <c r="B36" s="567"/>
      <c r="C36" s="566"/>
      <c r="D36" s="566"/>
      <c r="E36" s="566"/>
      <c r="F36" s="566"/>
      <c r="G36" s="566"/>
      <c r="H36" s="372"/>
      <c r="I36" s="372">
        <f t="shared" si="0"/>
        <v>0</v>
      </c>
      <c r="J36" s="214">
        <f t="shared" si="1"/>
        <v>0</v>
      </c>
    </row>
    <row r="37" spans="2:11" ht="21.9" customHeight="1">
      <c r="B37" s="567"/>
      <c r="C37" s="566"/>
      <c r="D37" s="566"/>
      <c r="E37" s="566"/>
      <c r="F37" s="566"/>
      <c r="G37" s="566"/>
      <c r="H37" s="372"/>
      <c r="I37" s="372">
        <f t="shared" si="0"/>
        <v>0</v>
      </c>
      <c r="J37" s="214">
        <f t="shared" si="1"/>
        <v>0</v>
      </c>
    </row>
    <row r="38" spans="2:11" ht="21.9" customHeight="1">
      <c r="B38" s="567"/>
      <c r="C38" s="566"/>
      <c r="D38" s="566"/>
      <c r="E38" s="566"/>
      <c r="F38" s="566"/>
      <c r="G38" s="566"/>
      <c r="H38" s="372"/>
      <c r="I38" s="372">
        <f t="shared" si="0"/>
        <v>0</v>
      </c>
      <c r="J38" s="214">
        <f t="shared" si="1"/>
        <v>0</v>
      </c>
    </row>
    <row r="39" spans="2:11" ht="21.9" customHeight="1">
      <c r="B39" s="567"/>
      <c r="C39" s="566"/>
      <c r="D39" s="566"/>
      <c r="E39" s="566"/>
      <c r="F39" s="566"/>
      <c r="G39" s="566"/>
      <c r="H39" s="372"/>
      <c r="I39" s="372">
        <f t="shared" si="0"/>
        <v>0</v>
      </c>
      <c r="J39" s="214">
        <f t="shared" si="1"/>
        <v>0</v>
      </c>
    </row>
    <row r="40" spans="2:11" ht="21.9" customHeight="1">
      <c r="B40" s="567"/>
      <c r="C40" s="566"/>
      <c r="D40" s="566"/>
      <c r="E40" s="566"/>
      <c r="F40" s="566"/>
      <c r="G40" s="566"/>
      <c r="H40" s="372"/>
      <c r="I40" s="372">
        <f t="shared" si="0"/>
        <v>0</v>
      </c>
      <c r="J40" s="214">
        <f t="shared" si="1"/>
        <v>0</v>
      </c>
    </row>
    <row r="41" spans="2:11" ht="21.9" customHeight="1">
      <c r="B41" s="567"/>
      <c r="C41" s="566"/>
      <c r="D41" s="566"/>
      <c r="E41" s="566"/>
      <c r="F41" s="566"/>
      <c r="G41" s="566"/>
      <c r="H41" s="372"/>
      <c r="I41" s="372">
        <f t="shared" si="0"/>
        <v>0</v>
      </c>
      <c r="J41" s="214">
        <f t="shared" si="1"/>
        <v>0</v>
      </c>
    </row>
    <row r="42" spans="2:11" ht="21.9" customHeight="1">
      <c r="B42" s="567"/>
      <c r="C42" s="566"/>
      <c r="D42" s="566"/>
      <c r="E42" s="566"/>
      <c r="F42" s="566"/>
      <c r="G42" s="566"/>
      <c r="H42" s="372"/>
      <c r="I42" s="372">
        <f t="shared" si="0"/>
        <v>0</v>
      </c>
      <c r="J42" s="214">
        <f t="shared" si="1"/>
        <v>0</v>
      </c>
    </row>
    <row r="43" spans="2:11" ht="21.9" customHeight="1" thickBot="1">
      <c r="B43" s="27"/>
      <c r="C43" s="328" t="s">
        <v>3571</v>
      </c>
      <c r="D43" s="27"/>
      <c r="E43" s="27"/>
      <c r="F43" s="27"/>
      <c r="G43" s="27"/>
      <c r="H43" s="105">
        <f>SUM(H10:H42)</f>
        <v>30087</v>
      </c>
      <c r="I43" s="105">
        <f>SUM(I10:I42)</f>
        <v>30087</v>
      </c>
      <c r="J43" s="239">
        <f>SUM(J10:J42)</f>
        <v>0</v>
      </c>
      <c r="K43" s="325"/>
    </row>
    <row r="44" spans="2:11" ht="13.8" thickTop="1">
      <c r="B44" s="322" t="s">
        <v>360</v>
      </c>
    </row>
    <row r="45" spans="2:11">
      <c r="B45" s="322" t="s">
        <v>361</v>
      </c>
    </row>
    <row r="46" spans="2:11">
      <c r="B46" s="322" t="s">
        <v>362</v>
      </c>
      <c r="H46" s="325"/>
    </row>
    <row r="48" spans="2:11">
      <c r="B48" s="322" t="s">
        <v>363</v>
      </c>
      <c r="E48" s="1533" t="s">
        <v>3952</v>
      </c>
      <c r="F48" s="1533"/>
      <c r="G48" s="1533"/>
      <c r="H48" s="1533"/>
    </row>
    <row r="49" spans="2:10" ht="13.8">
      <c r="B49" s="1507" t="s">
        <v>3617</v>
      </c>
      <c r="C49" s="1507"/>
      <c r="D49" s="1507"/>
      <c r="E49" s="1507"/>
      <c r="F49" s="1507"/>
      <c r="G49" s="1507"/>
      <c r="H49" s="1507"/>
      <c r="I49" s="1507"/>
      <c r="J49" s="1507"/>
    </row>
    <row r="52" spans="2:10">
      <c r="I52" s="325"/>
    </row>
  </sheetData>
  <sheetProtection algorithmName="SHA-512" hashValue="95uTHpJCAD0eDB8p00K6ZGxTbgo0xRbrlTgS+WVVz/iyyS22jiII4fSSyU5tdkStdhD3gTHFb591334XZNsEPA==" saltValue="ZqwbzEksLeMgaY8a+1zY4A==" spinCount="100000" sheet="1" objects="1" scenarios="1"/>
  <customSheetViews>
    <customSheetView guid="{AC653BD0-46E3-42CB-9C76-32121A57B65A}">
      <selection activeCell="B1" sqref="B1"/>
      <pageMargins left="0.25" right="0.25" top="0.5" bottom="0.5" header="0.25" footer="0.25"/>
      <pageSetup paperSize="5" scale="98" orientation="portrait" r:id="rId1"/>
      <headerFooter alignWithMargins="0"/>
    </customSheetView>
    <customSheetView guid="{B165479B-DC25-403C-9595-F1A88A4AA9A2}">
      <selection activeCell="B1" sqref="B1"/>
      <pageMargins left="0.25" right="0.25" top="0.5" bottom="0.5" header="0.25" footer="0.25"/>
      <pageSetup paperSize="5" scale="98" orientation="portrait" r:id="rId2"/>
      <headerFooter alignWithMargins="0"/>
    </customSheetView>
    <customSheetView guid="{A64E4C9E-A3DA-4AAA-8607-F524450B9436}">
      <selection activeCell="B1" sqref="B1"/>
      <pageMargins left="0.25" right="0.25" top="0.5" bottom="0.5" header="0.25" footer="0.25"/>
      <pageSetup paperSize="5" scale="98" orientation="portrait" r:id="rId3"/>
      <headerFooter alignWithMargins="0"/>
    </customSheetView>
    <customSheetView guid="{AB4FBD91-4533-473A-9702-569FF6402073}" topLeftCell="A31">
      <selection activeCell="B1" sqref="B1"/>
      <pageMargins left="0.25" right="0.25" top="0.5" bottom="0.5" header="0.25" footer="0.25"/>
      <pageSetup paperSize="5" scale="98" orientation="portrait" r:id="rId4"/>
      <headerFooter alignWithMargins="0"/>
    </customSheetView>
  </customSheetViews>
  <mergeCells count="6">
    <mergeCell ref="B49:J49"/>
    <mergeCell ref="B4:J4"/>
    <mergeCell ref="B5:J5"/>
    <mergeCell ref="B7:J7"/>
    <mergeCell ref="B9:G9"/>
    <mergeCell ref="E48:H48"/>
  </mergeCells>
  <pageMargins left="0.25" right="0.25" top="0.5" bottom="0.5" header="0.25" footer="0.25"/>
  <pageSetup paperSize="5" orientation="portrait" r:id="rId5"/>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pageSetUpPr fitToPage="1"/>
  </sheetPr>
  <dimension ref="B4:L54"/>
  <sheetViews>
    <sheetView workbookViewId="0">
      <selection activeCell="B3" sqref="B3:O3"/>
    </sheetView>
  </sheetViews>
  <sheetFormatPr defaultRowHeight="13.2"/>
  <cols>
    <col min="1" max="1" width="3.6640625" customWidth="1"/>
    <col min="2" max="4" width="4.6640625" customWidth="1"/>
    <col min="7" max="7" width="23.5546875" customWidth="1"/>
    <col min="9" max="10" width="16.6640625" customWidth="1"/>
    <col min="11" max="12" width="13.5546875" bestFit="1" customWidth="1"/>
  </cols>
  <sheetData>
    <row r="4" spans="2:12" ht="20.399999999999999">
      <c r="B4" s="1508" t="str">
        <f>"STATEMENT OF GENERAL BUDGET APPROPRIATIONS "&amp;TEXT('KEY INPUTS'!D34,"0")</f>
        <v>STATEMENT OF GENERAL BUDGET APPROPRIATIONS 2019</v>
      </c>
      <c r="C4" s="1508"/>
      <c r="D4" s="1508"/>
      <c r="E4" s="1508"/>
      <c r="F4" s="1508"/>
      <c r="G4" s="1508"/>
      <c r="H4" s="1508"/>
      <c r="I4" s="1508"/>
      <c r="J4" s="1508"/>
    </row>
    <row r="5" spans="2:12" ht="13.8" thickBot="1">
      <c r="B5" s="10"/>
      <c r="C5" s="10"/>
      <c r="D5" s="10"/>
      <c r="E5" s="10"/>
      <c r="F5" s="10"/>
      <c r="G5" s="10"/>
      <c r="H5" s="10"/>
      <c r="I5" s="10"/>
      <c r="J5" s="10"/>
    </row>
    <row r="6" spans="2:12" ht="21.9" customHeight="1" thickTop="1">
      <c r="B6" s="283" t="str">
        <f>TEXT('KEY INPUTS'!D34,"0")&amp;" Budget as Adopted"</f>
        <v>2019 Budget as Adopted</v>
      </c>
      <c r="C6" s="22"/>
      <c r="D6" s="22"/>
      <c r="E6" s="22"/>
      <c r="F6" s="22"/>
      <c r="G6" s="22"/>
      <c r="H6" s="22"/>
      <c r="I6" s="50" t="s">
        <v>1051</v>
      </c>
      <c r="J6" s="221">
        <f>+'17-Budget Revenues'!H22-J7</f>
        <v>15336000</v>
      </c>
    </row>
    <row r="7" spans="2:12" ht="21.9" customHeight="1" thickBot="1">
      <c r="B7" s="281" t="str">
        <f>TEXT('KEY INPUTS'!D34,"0")&amp;" Budget - Added by N.J.S. 40A:4-87"</f>
        <v>2019 Budget - Added by N.J.S. 40A:4-87</v>
      </c>
      <c r="C7" s="5"/>
      <c r="D7" s="5"/>
      <c r="E7" s="5"/>
      <c r="F7" s="5"/>
      <c r="G7" s="5"/>
      <c r="H7" s="5"/>
      <c r="I7" s="49" t="s">
        <v>1052</v>
      </c>
      <c r="J7" s="237">
        <f>+'17a Totals-Budget Revenues'!H43</f>
        <v>30087</v>
      </c>
    </row>
    <row r="8" spans="2:12" ht="21.9" customHeight="1">
      <c r="B8" s="281" t="str">
        <f>"Appropriated for "&amp;TEXT('KEY INPUTS'!D34,"0")&amp;" (Budget Statement Item 9)"</f>
        <v>Appropriated for 2019 (Budget Statement Item 9)</v>
      </c>
      <c r="C8" s="5"/>
      <c r="D8" s="5"/>
      <c r="E8" s="5"/>
      <c r="F8" s="5"/>
      <c r="G8" s="5"/>
      <c r="H8" s="5"/>
      <c r="I8" s="49" t="s">
        <v>906</v>
      </c>
      <c r="J8" s="223">
        <f>+J7+J6</f>
        <v>15366087</v>
      </c>
      <c r="K8" s="228"/>
      <c r="L8" s="228"/>
    </row>
    <row r="9" spans="2:12" ht="21.9" customHeight="1" thickBot="1">
      <c r="B9" s="281" t="str">
        <f>"Appropriated for "&amp;TEXT('KEY INPUTS'!D34,"0")&amp;" by Emergency Appropriation (Budget Statement Item 9)"</f>
        <v>Appropriated for 2019 by Emergency Appropriation (Budget Statement Item 9)</v>
      </c>
      <c r="C9" s="5"/>
      <c r="D9" s="5"/>
      <c r="E9" s="5"/>
      <c r="F9" s="5"/>
      <c r="G9" s="5"/>
      <c r="H9" s="5"/>
      <c r="I9" s="49" t="s">
        <v>907</v>
      </c>
      <c r="J9" s="585"/>
      <c r="K9" s="228"/>
    </row>
    <row r="10" spans="2:12" ht="21.9" customHeight="1">
      <c r="B10" s="5" t="s">
        <v>981</v>
      </c>
      <c r="C10" s="5"/>
      <c r="D10" s="5"/>
      <c r="E10" s="5"/>
      <c r="F10" s="5"/>
      <c r="G10" s="5"/>
      <c r="H10" s="5"/>
      <c r="I10" s="49" t="s">
        <v>908</v>
      </c>
      <c r="J10" s="223">
        <f>+J9+J8</f>
        <v>15366087</v>
      </c>
      <c r="K10" s="228"/>
      <c r="L10" s="228"/>
    </row>
    <row r="11" spans="2:12" ht="21.9" customHeight="1" thickBot="1">
      <c r="B11" s="5" t="s">
        <v>982</v>
      </c>
      <c r="C11" s="5"/>
      <c r="D11" s="5"/>
      <c r="E11" s="5"/>
      <c r="F11" s="5"/>
      <c r="G11" s="5"/>
      <c r="H11" s="5"/>
      <c r="I11" s="49" t="s">
        <v>909</v>
      </c>
      <c r="J11" s="585"/>
      <c r="L11" s="228"/>
    </row>
    <row r="12" spans="2:12" ht="21.9" customHeight="1">
      <c r="B12" s="5"/>
      <c r="C12" s="5" t="s">
        <v>916</v>
      </c>
      <c r="D12" s="5"/>
      <c r="E12" s="5"/>
      <c r="F12" s="5"/>
      <c r="G12" s="5"/>
      <c r="H12" s="5"/>
      <c r="I12" s="49" t="s">
        <v>910</v>
      </c>
      <c r="J12" s="223">
        <f>+J10+J11</f>
        <v>15366087</v>
      </c>
      <c r="K12" s="228"/>
    </row>
    <row r="13" spans="2:12" ht="21.9" customHeight="1">
      <c r="B13" s="5" t="s">
        <v>917</v>
      </c>
      <c r="C13" s="5"/>
      <c r="D13" s="5"/>
      <c r="E13" s="5"/>
      <c r="F13" s="5"/>
      <c r="G13" s="5"/>
      <c r="H13" s="5"/>
      <c r="I13" s="49"/>
      <c r="J13" s="74"/>
    </row>
    <row r="14" spans="2:12" ht="21.9" customHeight="1">
      <c r="B14" s="5"/>
      <c r="C14" s="5" t="s">
        <v>918</v>
      </c>
      <c r="D14" s="5"/>
      <c r="E14" s="5"/>
      <c r="F14" s="5"/>
      <c r="G14" s="5"/>
      <c r="H14" s="5" t="s">
        <v>911</v>
      </c>
      <c r="I14" s="372">
        <v>13931595.23</v>
      </c>
      <c r="J14" s="74"/>
      <c r="K14" s="228"/>
    </row>
    <row r="15" spans="2:12" ht="21.9" customHeight="1">
      <c r="B15" s="5"/>
      <c r="C15" s="5" t="s">
        <v>919</v>
      </c>
      <c r="D15" s="5"/>
      <c r="E15" s="5"/>
      <c r="F15" s="5"/>
      <c r="G15" s="5"/>
      <c r="H15" s="5" t="s">
        <v>912</v>
      </c>
      <c r="I15" s="372">
        <v>515000</v>
      </c>
      <c r="J15" s="74"/>
      <c r="K15" s="228"/>
    </row>
    <row r="16" spans="2:12" ht="21.9" customHeight="1" thickBot="1">
      <c r="B16" s="5"/>
      <c r="C16" s="5" t="s">
        <v>920</v>
      </c>
      <c r="D16" s="5"/>
      <c r="E16" s="5"/>
      <c r="F16" s="5"/>
      <c r="G16" s="5"/>
      <c r="H16" s="5" t="s">
        <v>913</v>
      </c>
      <c r="I16" s="586">
        <v>912726.34</v>
      </c>
      <c r="J16" s="74"/>
      <c r="K16" s="228"/>
    </row>
    <row r="17" spans="2:12" ht="21.9" customHeight="1" thickBot="1">
      <c r="B17" s="5"/>
      <c r="C17" s="5"/>
      <c r="D17" s="5" t="s">
        <v>921</v>
      </c>
      <c r="E17" s="5"/>
      <c r="F17" s="5"/>
      <c r="G17" s="5"/>
      <c r="H17" s="5"/>
      <c r="I17" s="75" t="s">
        <v>914</v>
      </c>
      <c r="J17" s="237">
        <f>SUM(I14:I16)</f>
        <v>15359321.57</v>
      </c>
      <c r="K17" s="228"/>
    </row>
    <row r="18" spans="2:12" ht="21.9" customHeight="1" thickBot="1">
      <c r="B18" s="27" t="s">
        <v>980</v>
      </c>
      <c r="C18" s="27"/>
      <c r="D18" s="27"/>
      <c r="E18" s="27"/>
      <c r="F18" s="27"/>
      <c r="G18" s="27"/>
      <c r="H18" s="27"/>
      <c r="I18" s="77" t="s">
        <v>915</v>
      </c>
      <c r="J18" s="234">
        <f>+J12-J17</f>
        <v>6765.429999999702</v>
      </c>
      <c r="K18" s="228"/>
      <c r="L18" s="228"/>
    </row>
    <row r="19" spans="2:12" ht="13.8" thickTop="1">
      <c r="K19" s="228"/>
    </row>
    <row r="20" spans="2:12">
      <c r="B20" s="205" t="s">
        <v>976</v>
      </c>
      <c r="K20" s="228"/>
    </row>
    <row r="21" spans="2:12">
      <c r="C21" s="34" t="s">
        <v>51</v>
      </c>
    </row>
    <row r="22" spans="2:12">
      <c r="C22" s="34" t="s">
        <v>977</v>
      </c>
    </row>
    <row r="23" spans="2:12">
      <c r="C23" s="34" t="s">
        <v>52</v>
      </c>
    </row>
    <row r="24" spans="2:12">
      <c r="C24" s="34"/>
      <c r="D24" s="34" t="s">
        <v>53</v>
      </c>
    </row>
    <row r="32" spans="2:12" ht="20.399999999999999">
      <c r="B32" s="1508" t="s">
        <v>983</v>
      </c>
      <c r="C32" s="1508"/>
      <c r="D32" s="1508"/>
      <c r="E32" s="1508"/>
      <c r="F32" s="1508"/>
      <c r="G32" s="1508"/>
      <c r="H32" s="1508"/>
      <c r="I32" s="1508"/>
      <c r="J32" s="1508"/>
    </row>
    <row r="33" spans="2:11" ht="20.399999999999999">
      <c r="B33" s="1508" t="s">
        <v>748</v>
      </c>
      <c r="C33" s="1508"/>
      <c r="D33" s="1508"/>
      <c r="E33" s="1508"/>
      <c r="F33" s="1508"/>
      <c r="G33" s="1508"/>
      <c r="H33" s="1508"/>
      <c r="I33" s="1508"/>
      <c r="J33" s="1508"/>
    </row>
    <row r="35" spans="2:11" ht="13.8">
      <c r="B35" s="1507" t="s">
        <v>749</v>
      </c>
      <c r="C35" s="1507"/>
      <c r="D35" s="1507"/>
      <c r="E35" s="1507"/>
      <c r="F35" s="1507"/>
      <c r="G35" s="1507"/>
      <c r="H35" s="1507"/>
      <c r="I35" s="1507"/>
      <c r="J35" s="1507"/>
    </row>
    <row r="36" spans="2:11" ht="13.8" thickBot="1">
      <c r="B36" s="10"/>
      <c r="C36" s="10"/>
      <c r="D36" s="10"/>
      <c r="E36" s="10"/>
      <c r="F36" s="10"/>
      <c r="G36" s="10"/>
      <c r="H36" s="10"/>
      <c r="I36" s="10"/>
      <c r="J36" s="10"/>
    </row>
    <row r="37" spans="2:11" ht="21" customHeight="1" thickTop="1">
      <c r="B37" s="283" t="str">
        <f>TEXT('KEY INPUTS'!D34,"0")&amp;" Authorizations"</f>
        <v>2019 Authorizations</v>
      </c>
      <c r="C37" s="22"/>
      <c r="D37" s="22"/>
      <c r="E37" s="22"/>
      <c r="F37" s="22"/>
      <c r="G37" s="22"/>
      <c r="H37" s="23"/>
      <c r="I37" s="1018"/>
      <c r="J37" s="853"/>
    </row>
    <row r="38" spans="2:11" ht="21" customHeight="1">
      <c r="B38" s="5"/>
      <c r="C38" s="5" t="s">
        <v>751</v>
      </c>
      <c r="D38" s="5"/>
      <c r="E38" s="5"/>
      <c r="F38" s="5"/>
      <c r="G38" s="5"/>
      <c r="H38" s="24"/>
      <c r="I38" s="374"/>
      <c r="J38" s="853"/>
    </row>
    <row r="39" spans="2:11" ht="21" customHeight="1" thickBot="1">
      <c r="B39" s="5"/>
      <c r="C39" s="5" t="s">
        <v>203</v>
      </c>
      <c r="D39" s="5"/>
      <c r="E39" s="5"/>
      <c r="F39" s="5"/>
      <c r="G39" s="5"/>
      <c r="H39" s="24"/>
      <c r="I39" s="1022"/>
      <c r="J39" s="853"/>
    </row>
    <row r="40" spans="2:11" ht="21" customHeight="1">
      <c r="B40" s="5"/>
      <c r="C40" s="5"/>
      <c r="D40" s="5" t="s">
        <v>752</v>
      </c>
      <c r="E40" s="5"/>
      <c r="F40" s="5"/>
      <c r="G40" s="5"/>
      <c r="H40" s="24"/>
      <c r="I40" s="1020"/>
      <c r="J40" s="983">
        <f>SUM(I38:I39)</f>
        <v>0</v>
      </c>
      <c r="K40" s="710"/>
    </row>
    <row r="41" spans="2:11" ht="21" customHeight="1">
      <c r="B41" s="5" t="s">
        <v>917</v>
      </c>
      <c r="C41" s="5"/>
      <c r="D41" s="5"/>
      <c r="E41" s="5"/>
      <c r="F41" s="5"/>
      <c r="G41" s="5"/>
      <c r="H41" s="24"/>
      <c r="I41" s="1019"/>
      <c r="J41" s="853"/>
    </row>
    <row r="42" spans="2:11" ht="21" customHeight="1">
      <c r="B42" s="5"/>
      <c r="C42" s="5" t="s">
        <v>753</v>
      </c>
      <c r="D42" s="5"/>
      <c r="E42" s="5"/>
      <c r="F42" s="5"/>
      <c r="G42" s="5"/>
      <c r="H42" s="24"/>
      <c r="I42" s="374"/>
      <c r="J42" s="853"/>
    </row>
    <row r="43" spans="2:11" ht="21" customHeight="1" thickBot="1">
      <c r="B43" s="5"/>
      <c r="C43" s="5" t="s">
        <v>920</v>
      </c>
      <c r="D43" s="5"/>
      <c r="E43" s="5"/>
      <c r="F43" s="5"/>
      <c r="G43" s="5"/>
      <c r="H43" s="24"/>
      <c r="I43" s="1022"/>
      <c r="J43" s="853"/>
    </row>
    <row r="44" spans="2:11" ht="21" customHeight="1" thickBot="1">
      <c r="B44" s="10"/>
      <c r="C44" s="10"/>
      <c r="D44" s="10" t="s">
        <v>921</v>
      </c>
      <c r="E44" s="10"/>
      <c r="F44" s="10"/>
      <c r="G44" s="10"/>
      <c r="H44" s="10"/>
      <c r="I44" s="1021"/>
      <c r="J44" s="985">
        <f>SUM(I42:I43)</f>
        <v>0</v>
      </c>
    </row>
    <row r="45" spans="2:11" ht="13.8" thickTop="1"/>
    <row r="54" spans="2:10" ht="13.8">
      <c r="B54" s="1507" t="s">
        <v>750</v>
      </c>
      <c r="C54" s="1507"/>
      <c r="D54" s="1507"/>
      <c r="E54" s="1507"/>
      <c r="F54" s="1507"/>
      <c r="G54" s="1507"/>
      <c r="H54" s="1507"/>
      <c r="I54" s="1507"/>
      <c r="J54" s="1507"/>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I15" sqref="I15"/>
      <pageMargins left="0.25" right="0.25" top="0.5" bottom="0.5" header="0.25" footer="0.25"/>
      <pageSetup paperSize="5" orientation="portrait" r:id="rId2"/>
      <headerFooter alignWithMargins="0"/>
    </customSheetView>
    <customSheetView guid="{A64E4C9E-A3DA-4AAA-8607-F524450B9436}">
      <selection activeCell="I15" sqref="I15"/>
      <pageMargins left="0.25" right="0.25" top="0.5" bottom="0.5" header="0.25" footer="0.25"/>
      <pageSetup paperSize="5" orientation="portrait" r:id="rId3"/>
      <headerFooter alignWithMargins="0"/>
    </customSheetView>
    <customSheetView guid="{AB4FBD91-4533-473A-9702-569FF6402073}" topLeftCell="A28">
      <selection activeCell="I15" sqref="I15"/>
      <pageMargins left="0.25" right="0.25" top="0.5" bottom="0.5" header="0.25" footer="0.25"/>
      <pageSetup paperSize="5" orientation="portrait" r:id="rId4"/>
      <headerFooter alignWithMargins="0"/>
    </customSheetView>
  </customSheetViews>
  <mergeCells count="5">
    <mergeCell ref="B54:J54"/>
    <mergeCell ref="B4:J4"/>
    <mergeCell ref="B32:J32"/>
    <mergeCell ref="B33:J33"/>
    <mergeCell ref="B35:J35"/>
  </mergeCells>
  <phoneticPr fontId="0" type="noConversion"/>
  <pageMargins left="0.25" right="0.25" top="0.5" bottom="0.5" header="0.25" footer="0.25"/>
  <pageSetup paperSize="5" orientation="portrait" r:id="rId5"/>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pageSetUpPr fitToPage="1"/>
  </sheetPr>
  <dimension ref="B3:L48"/>
  <sheetViews>
    <sheetView topLeftCell="A10" zoomScaleNormal="100" workbookViewId="0">
      <selection activeCell="B3" sqref="B3:O3"/>
    </sheetView>
  </sheetViews>
  <sheetFormatPr defaultRowHeight="13.2"/>
  <cols>
    <col min="1" max="3" width="4.6640625" customWidth="1"/>
    <col min="5" max="5" width="24.44140625" customWidth="1"/>
    <col min="8" max="9" width="16.6640625" style="277" customWidth="1"/>
    <col min="10" max="10" width="13.6640625" style="246" bestFit="1" customWidth="1"/>
    <col min="11" max="11" width="11.109375" bestFit="1" customWidth="1"/>
  </cols>
  <sheetData>
    <row r="3" spans="2:10" ht="22.8">
      <c r="B3" s="1549" t="str">
        <f>" RESULTS OF "&amp;TEXT('KEY INPUTS'!D34,"0")&amp;" OPERATION"</f>
        <v xml:space="preserve"> RESULTS OF 2019 OPERATION</v>
      </c>
      <c r="C3" s="1549"/>
      <c r="D3" s="1549"/>
      <c r="E3" s="1549"/>
      <c r="F3" s="1549"/>
      <c r="G3" s="1549"/>
      <c r="H3" s="1549"/>
      <c r="I3" s="1549"/>
    </row>
    <row r="4" spans="2:10" ht="13.8">
      <c r="B4" s="1507"/>
      <c r="C4" s="1507"/>
      <c r="D4" s="1507"/>
      <c r="E4" s="1507"/>
      <c r="F4" s="1507"/>
      <c r="G4" s="1507"/>
      <c r="H4" s="1507"/>
      <c r="I4" s="1507"/>
    </row>
    <row r="5" spans="2:10">
      <c r="B5" s="322"/>
      <c r="C5" s="322"/>
      <c r="D5" s="322"/>
      <c r="E5" s="322"/>
      <c r="F5" s="322"/>
      <c r="G5" s="322"/>
    </row>
    <row r="6" spans="2:10" ht="15.6">
      <c r="B6" s="1542" t="s">
        <v>754</v>
      </c>
      <c r="C6" s="1542"/>
      <c r="D6" s="1542"/>
      <c r="E6" s="1542"/>
      <c r="F6" s="1542"/>
      <c r="G6" s="1542"/>
      <c r="H6" s="1542"/>
      <c r="I6" s="1542"/>
    </row>
    <row r="7" spans="2:10" ht="15.6">
      <c r="B7" s="962"/>
      <c r="C7" s="962"/>
      <c r="D7" s="962"/>
      <c r="E7" s="962"/>
      <c r="F7" s="962"/>
      <c r="G7" s="962"/>
      <c r="H7" s="339"/>
      <c r="I7" s="339"/>
    </row>
    <row r="8" spans="2:10" ht="8.25" customHeight="1" thickBot="1">
      <c r="B8" s="10"/>
      <c r="C8" s="10"/>
      <c r="D8" s="10"/>
      <c r="E8" s="10"/>
      <c r="F8" s="10"/>
      <c r="G8" s="10"/>
      <c r="H8" s="340"/>
      <c r="I8" s="340"/>
    </row>
    <row r="9" spans="2:10" ht="32.1" customHeight="1" thickTop="1" thickBot="1">
      <c r="B9" s="1553"/>
      <c r="C9" s="1553"/>
      <c r="D9" s="1553"/>
      <c r="E9" s="1553"/>
      <c r="F9" s="1553"/>
      <c r="G9" s="1553"/>
      <c r="H9" s="259" t="s">
        <v>125</v>
      </c>
      <c r="I9" s="260" t="s">
        <v>126</v>
      </c>
    </row>
    <row r="10" spans="2:10" ht="21.9" customHeight="1" thickTop="1">
      <c r="B10" s="283" t="s">
        <v>884</v>
      </c>
      <c r="C10" s="283"/>
      <c r="D10" s="283"/>
      <c r="E10" s="283"/>
      <c r="F10" s="283"/>
      <c r="G10" s="283"/>
      <c r="H10" s="310" t="s">
        <v>787</v>
      </c>
      <c r="I10" s="341" t="s">
        <v>787</v>
      </c>
    </row>
    <row r="11" spans="2:10" ht="21.9" customHeight="1">
      <c r="B11" s="323"/>
      <c r="C11" s="323" t="s">
        <v>183</v>
      </c>
      <c r="D11" s="323"/>
      <c r="E11" s="323"/>
      <c r="F11" s="323"/>
      <c r="G11" s="323" t="s">
        <v>329</v>
      </c>
      <c r="H11" s="310" t="s">
        <v>787</v>
      </c>
      <c r="I11" s="311">
        <f>IF(+'17-Budget Revenues'!J14&gt;0, +'17-Budget Revenues'!J14," ")</f>
        <v>308786.35000000009</v>
      </c>
      <c r="J11" s="256"/>
    </row>
    <row r="12" spans="2:10" ht="21.9" customHeight="1">
      <c r="B12" s="323"/>
      <c r="C12" s="323" t="s">
        <v>184</v>
      </c>
      <c r="D12" s="323"/>
      <c r="E12" s="323"/>
      <c r="F12" s="323"/>
      <c r="G12" s="323" t="s">
        <v>330</v>
      </c>
      <c r="H12" s="310" t="s">
        <v>787</v>
      </c>
      <c r="I12" s="311">
        <f>IF(+'17-Budget Revenues'!J15&gt;0, +'17-Budget Revenues'!J15,0)</f>
        <v>550.29999999998836</v>
      </c>
      <c r="J12" s="256"/>
    </row>
    <row r="13" spans="2:10" ht="21.9" customHeight="1">
      <c r="B13" s="566"/>
      <c r="C13" s="566"/>
      <c r="D13" s="566"/>
      <c r="E13" s="566"/>
      <c r="F13" s="566"/>
      <c r="G13" s="566"/>
      <c r="H13" s="310" t="s">
        <v>787</v>
      </c>
      <c r="I13" s="589"/>
    </row>
    <row r="14" spans="2:10" ht="21.9" customHeight="1">
      <c r="B14" s="323"/>
      <c r="C14" s="323" t="s">
        <v>185</v>
      </c>
      <c r="D14" s="323"/>
      <c r="E14" s="323"/>
      <c r="F14" s="323"/>
      <c r="G14" s="323" t="s">
        <v>331</v>
      </c>
      <c r="H14" s="310" t="s">
        <v>787</v>
      </c>
      <c r="I14" s="311">
        <f>IF(+'17-Budget Revenues'!J21&gt;0, +'17-Budget Revenues'!J21,0)</f>
        <v>398827.62000000477</v>
      </c>
      <c r="J14" s="256"/>
    </row>
    <row r="15" spans="2:10" ht="21.9" customHeight="1">
      <c r="B15" s="323" t="str">
        <f>"Unexpended Balances of "&amp;TEXT('KEY INPUTS'!D34,"0")&amp;" Budget Appropriations"</f>
        <v>Unexpended Balances of 2019 Budget Appropriations</v>
      </c>
      <c r="C15" s="323"/>
      <c r="D15" s="323"/>
      <c r="E15" s="323"/>
      <c r="F15" s="323"/>
      <c r="G15" s="323" t="s">
        <v>332</v>
      </c>
      <c r="H15" s="310" t="s">
        <v>787</v>
      </c>
      <c r="I15" s="311">
        <f>+'18-Budget Appropriations'!J18</f>
        <v>6765.429999999702</v>
      </c>
      <c r="J15" s="256"/>
    </row>
    <row r="16" spans="2:10" ht="21.9" customHeight="1">
      <c r="B16" s="323" t="s">
        <v>440</v>
      </c>
      <c r="C16" s="323"/>
      <c r="D16" s="323"/>
      <c r="E16" s="323"/>
      <c r="F16" s="323"/>
      <c r="G16" s="323" t="s">
        <v>333</v>
      </c>
      <c r="H16" s="310" t="s">
        <v>787</v>
      </c>
      <c r="I16" s="311">
        <f>'20 Total-Misc Rev Not Ant'!H41</f>
        <v>193837.03</v>
      </c>
      <c r="J16" s="256"/>
    </row>
    <row r="17" spans="2:11" ht="11.25" customHeight="1">
      <c r="B17" s="7" t="s">
        <v>347</v>
      </c>
      <c r="C17" s="7"/>
      <c r="D17" s="7"/>
      <c r="E17" s="7"/>
      <c r="F17" s="7"/>
      <c r="G17" s="7"/>
      <c r="H17" s="1626" t="s">
        <v>787</v>
      </c>
      <c r="I17" s="1624">
        <f>+'27-Foreclosed Property'!L15</f>
        <v>0</v>
      </c>
    </row>
    <row r="18" spans="2:11" ht="12.75" customHeight="1">
      <c r="B18" s="284"/>
      <c r="C18" s="284" t="s">
        <v>348</v>
      </c>
      <c r="D18" s="284"/>
      <c r="E18" s="284"/>
      <c r="F18" s="284"/>
      <c r="G18" s="284" t="s">
        <v>334</v>
      </c>
      <c r="H18" s="1627"/>
      <c r="I18" s="1625"/>
    </row>
    <row r="19" spans="2:11" ht="21.9" customHeight="1">
      <c r="B19" s="323"/>
      <c r="C19" s="323" t="s">
        <v>358</v>
      </c>
      <c r="D19" s="323"/>
      <c r="E19" s="323"/>
      <c r="F19" s="323"/>
      <c r="G19" s="323" t="s">
        <v>335</v>
      </c>
      <c r="H19" s="310" t="s">
        <v>787</v>
      </c>
      <c r="I19" s="589"/>
    </row>
    <row r="20" spans="2:11" ht="21.9" customHeight="1">
      <c r="B20" s="323" t="s">
        <v>204</v>
      </c>
      <c r="C20" s="323"/>
      <c r="D20" s="323"/>
      <c r="E20" s="323"/>
      <c r="F20" s="323"/>
      <c r="G20" s="323"/>
      <c r="H20" s="310" t="s">
        <v>787</v>
      </c>
      <c r="I20" s="589"/>
    </row>
    <row r="21" spans="2:11" ht="21.9" customHeight="1">
      <c r="B21" s="323" t="str">
        <f>"Unexpended Balances of "&amp;TEXT('KEY INPUTS'!D35,"0")&amp;" Appropriation Reserves"</f>
        <v>Unexpended Balances of 2018 Appropriation Reserves</v>
      </c>
      <c r="C21" s="323"/>
      <c r="D21" s="323"/>
      <c r="E21" s="323"/>
      <c r="F21" s="323"/>
      <c r="G21" s="323" t="s">
        <v>336</v>
      </c>
      <c r="H21" s="310" t="s">
        <v>787</v>
      </c>
      <c r="I21" s="589">
        <v>310059.51</v>
      </c>
      <c r="J21" s="256"/>
    </row>
    <row r="22" spans="2:11" ht="21.9" customHeight="1">
      <c r="B22" s="323" t="str">
        <f>"Prior Years Interfunds Returned in "&amp;TEXT('KEY INPUTS'!D34,"0")</f>
        <v>Prior Years Interfunds Returned in 2019</v>
      </c>
      <c r="C22" s="323"/>
      <c r="D22" s="323"/>
      <c r="E22" s="323"/>
      <c r="F22" s="323"/>
      <c r="G22" s="323" t="s">
        <v>373</v>
      </c>
      <c r="H22" s="310" t="s">
        <v>787</v>
      </c>
      <c r="I22" s="589"/>
      <c r="J22" s="256"/>
    </row>
    <row r="23" spans="2:11" ht="21.9" customHeight="1">
      <c r="B23" s="566"/>
      <c r="C23" s="566"/>
      <c r="D23" s="566"/>
      <c r="E23" s="566"/>
      <c r="F23" s="566"/>
      <c r="G23" s="566"/>
      <c r="H23" s="310" t="s">
        <v>787</v>
      </c>
      <c r="I23" s="589"/>
    </row>
    <row r="24" spans="2:11" s="322" customFormat="1" ht="21.9" customHeight="1">
      <c r="B24" s="566"/>
      <c r="C24" s="566"/>
      <c r="D24" s="566"/>
      <c r="E24" s="566"/>
      <c r="F24" s="566"/>
      <c r="G24" s="566"/>
      <c r="H24" s="683"/>
      <c r="I24" s="589"/>
      <c r="J24" s="277"/>
    </row>
    <row r="25" spans="2:11" ht="21.9" customHeight="1">
      <c r="B25" s="567"/>
      <c r="C25" s="566"/>
      <c r="D25" s="566"/>
      <c r="E25" s="566"/>
      <c r="F25" s="566"/>
      <c r="G25" s="566"/>
      <c r="H25" s="310" t="s">
        <v>787</v>
      </c>
      <c r="I25" s="589"/>
      <c r="J25" s="327"/>
    </row>
    <row r="26" spans="2:11" ht="21.9" customHeight="1">
      <c r="B26" s="566"/>
      <c r="C26" s="566"/>
      <c r="D26" s="566"/>
      <c r="E26" s="566"/>
      <c r="F26" s="566"/>
      <c r="G26" s="566"/>
      <c r="H26" s="310" t="s">
        <v>787</v>
      </c>
      <c r="I26" s="589"/>
    </row>
    <row r="27" spans="2:11" ht="21.9" customHeight="1">
      <c r="B27" s="5" t="s">
        <v>382</v>
      </c>
      <c r="C27" s="5"/>
      <c r="D27" s="5"/>
      <c r="E27" s="5"/>
      <c r="F27" s="5"/>
      <c r="G27" s="5"/>
      <c r="H27" s="310" t="s">
        <v>787</v>
      </c>
      <c r="I27" s="264" t="s">
        <v>787</v>
      </c>
      <c r="J27" s="256"/>
    </row>
    <row r="28" spans="2:11" ht="21.9" customHeight="1">
      <c r="B28" s="5"/>
      <c r="C28" s="5" t="str">
        <f>'KEY INPUTS'!D25</f>
        <v>Balance - January 1, 2019</v>
      </c>
      <c r="D28" s="5"/>
      <c r="E28" s="5"/>
      <c r="F28" s="5"/>
      <c r="G28" s="5" t="s">
        <v>374</v>
      </c>
      <c r="H28" s="337">
        <f>+'13-Other Taxes'!H11+'14-Other Taxes'!H12+'14-Other Taxes'!H33</f>
        <v>0</v>
      </c>
      <c r="I28" s="264" t="s">
        <v>787</v>
      </c>
      <c r="J28" s="256"/>
      <c r="K28" s="325"/>
    </row>
    <row r="29" spans="2:11" ht="21.9" customHeight="1">
      <c r="B29" s="5"/>
      <c r="C29" s="5" t="str">
        <f>'KEY INPUTS'!D26</f>
        <v>Balance - December 31, 2019</v>
      </c>
      <c r="D29" s="5"/>
      <c r="E29" s="5"/>
      <c r="F29" s="5"/>
      <c r="G29" s="5" t="s">
        <v>375</v>
      </c>
      <c r="H29" s="310" t="s">
        <v>787</v>
      </c>
      <c r="I29" s="311">
        <f>'13-Other Taxes'!G18+'14-Other Taxes'!G40+'14-Other Taxes'!G19</f>
        <v>0</v>
      </c>
      <c r="J29" s="327"/>
      <c r="K29" s="325"/>
    </row>
    <row r="30" spans="2:11" ht="21.9" customHeight="1">
      <c r="B30" s="5" t="s">
        <v>267</v>
      </c>
      <c r="C30" s="5"/>
      <c r="D30" s="5"/>
      <c r="E30" s="5"/>
      <c r="F30" s="5"/>
      <c r="G30" s="5"/>
      <c r="H30" s="310" t="s">
        <v>787</v>
      </c>
      <c r="I30" s="264" t="s">
        <v>787</v>
      </c>
      <c r="J30" s="256"/>
      <c r="K30" s="325"/>
    </row>
    <row r="31" spans="2:11" ht="21.9" customHeight="1">
      <c r="B31" s="5"/>
      <c r="C31" s="5" t="s">
        <v>349</v>
      </c>
      <c r="D31" s="5"/>
      <c r="E31" s="5"/>
      <c r="F31" s="5"/>
      <c r="G31" s="5" t="s">
        <v>376</v>
      </c>
      <c r="H31" s="337">
        <f>IF(+'17-Budget Revenues'!J14&lt;0, -'17-Budget Revenues'!J14,0)</f>
        <v>0</v>
      </c>
      <c r="I31" s="264" t="s">
        <v>787</v>
      </c>
      <c r="J31" s="256"/>
    </row>
    <row r="32" spans="2:11" ht="21.9" customHeight="1">
      <c r="B32" s="5"/>
      <c r="C32" s="5" t="s">
        <v>184</v>
      </c>
      <c r="D32" s="5"/>
      <c r="E32" s="5"/>
      <c r="F32" s="5"/>
      <c r="G32" s="5" t="s">
        <v>377</v>
      </c>
      <c r="H32" s="337">
        <f>IF(+'17-Budget Revenues'!J15&lt;0, -'17-Budget Revenues'!J15,0)</f>
        <v>0</v>
      </c>
      <c r="I32" s="264" t="s">
        <v>787</v>
      </c>
      <c r="J32" s="256"/>
    </row>
    <row r="33" spans="2:12" ht="21.9" customHeight="1">
      <c r="B33" s="1453"/>
      <c r="C33" s="1453"/>
      <c r="D33" s="1453"/>
      <c r="E33" s="1453"/>
      <c r="F33" s="1453"/>
      <c r="G33" s="1454"/>
      <c r="H33" s="372"/>
      <c r="I33" s="264" t="s">
        <v>787</v>
      </c>
    </row>
    <row r="34" spans="2:12" ht="21.9" customHeight="1">
      <c r="B34" s="5"/>
      <c r="C34" s="5" t="s">
        <v>350</v>
      </c>
      <c r="D34" s="5"/>
      <c r="E34" s="5"/>
      <c r="F34" s="5"/>
      <c r="G34" s="5" t="s">
        <v>378</v>
      </c>
      <c r="H34" s="337">
        <f>IF(+'17-Budget Revenues'!J21&lt;0, -'17-Budget Revenues'!J21,0)</f>
        <v>0</v>
      </c>
      <c r="I34" s="264" t="s">
        <v>787</v>
      </c>
    </row>
    <row r="35" spans="2:12" ht="21.9" customHeight="1">
      <c r="B35" s="281" t="str">
        <f>"Interfund Advances Originating in "&amp;TEXT('KEY INPUTS'!D34,"0")</f>
        <v>Interfund Advances Originating in 2019</v>
      </c>
      <c r="C35" s="5"/>
      <c r="D35" s="5"/>
      <c r="E35" s="5"/>
      <c r="F35" s="5"/>
      <c r="G35" s="5" t="s">
        <v>379</v>
      </c>
      <c r="H35" s="372">
        <v>3061.77</v>
      </c>
      <c r="I35" s="264" t="s">
        <v>787</v>
      </c>
      <c r="J35" s="327"/>
    </row>
    <row r="36" spans="2:12" ht="21.9" customHeight="1">
      <c r="B36" s="566"/>
      <c r="C36" s="566"/>
      <c r="D36" s="566"/>
      <c r="E36" s="566"/>
      <c r="F36" s="566"/>
      <c r="G36" s="566"/>
      <c r="H36" s="372"/>
      <c r="I36" s="264" t="s">
        <v>787</v>
      </c>
    </row>
    <row r="37" spans="2:12" ht="21.9" customHeight="1">
      <c r="B37" s="566"/>
      <c r="C37" s="566"/>
      <c r="D37" s="566"/>
      <c r="E37" s="566"/>
      <c r="F37" s="566"/>
      <c r="G37" s="566"/>
      <c r="H37" s="372"/>
      <c r="I37" s="264" t="s">
        <v>787</v>
      </c>
    </row>
    <row r="38" spans="2:12" s="322" customFormat="1" ht="21.9" customHeight="1">
      <c r="B38" s="566"/>
      <c r="C38" s="566"/>
      <c r="D38" s="566"/>
      <c r="E38" s="566"/>
      <c r="F38" s="566"/>
      <c r="G38" s="566"/>
      <c r="H38" s="372"/>
      <c r="I38" s="1457"/>
      <c r="J38" s="277"/>
    </row>
    <row r="39" spans="2:12" s="322" customFormat="1" ht="21.9" customHeight="1">
      <c r="B39" s="566"/>
      <c r="C39" s="566"/>
      <c r="D39" s="566"/>
      <c r="E39" s="566"/>
      <c r="F39" s="566"/>
      <c r="G39" s="566"/>
      <c r="H39" s="372"/>
      <c r="I39" s="1457"/>
      <c r="J39" s="277"/>
    </row>
    <row r="40" spans="2:12" s="322" customFormat="1" ht="21.9" customHeight="1">
      <c r="B40" s="566"/>
      <c r="C40" s="566"/>
      <c r="D40" s="566"/>
      <c r="E40" s="566"/>
      <c r="F40" s="566"/>
      <c r="G40" s="566"/>
      <c r="H40" s="372"/>
      <c r="I40" s="1457"/>
      <c r="J40" s="277"/>
    </row>
    <row r="41" spans="2:12" ht="21.9" customHeight="1">
      <c r="B41" s="566"/>
      <c r="C41" s="566"/>
      <c r="D41" s="566"/>
      <c r="E41" s="566"/>
      <c r="F41" s="566"/>
      <c r="G41" s="566"/>
      <c r="H41" s="372"/>
      <c r="I41" s="264" t="s">
        <v>787</v>
      </c>
      <c r="J41" s="327"/>
    </row>
    <row r="42" spans="2:12" ht="21.9" customHeight="1">
      <c r="B42" s="566"/>
      <c r="C42" s="566"/>
      <c r="D42" s="566"/>
      <c r="E42" s="566"/>
      <c r="F42" s="566"/>
      <c r="G42" s="566"/>
      <c r="H42" s="372"/>
      <c r="I42" s="264" t="s">
        <v>787</v>
      </c>
    </row>
    <row r="43" spans="2:12" ht="21.9" customHeight="1">
      <c r="B43" s="5" t="s">
        <v>351</v>
      </c>
      <c r="C43" s="5"/>
      <c r="D43" s="5"/>
      <c r="E43" s="5"/>
      <c r="F43" s="5"/>
      <c r="G43" s="5" t="s">
        <v>380</v>
      </c>
      <c r="H43" s="310" t="s">
        <v>787</v>
      </c>
      <c r="I43" s="834">
        <f>IF(+J44&gt;0,0,J44*-1)</f>
        <v>0</v>
      </c>
      <c r="J43" s="256"/>
    </row>
    <row r="44" spans="2:12" ht="21.9" customHeight="1" thickBot="1">
      <c r="B44" s="5" t="s">
        <v>182</v>
      </c>
      <c r="C44" s="5"/>
      <c r="D44" s="5"/>
      <c r="E44" s="5"/>
      <c r="F44" s="5"/>
      <c r="G44" s="5" t="s">
        <v>381</v>
      </c>
      <c r="H44" s="314">
        <f>+IF(+J44&gt;0,J44,0)</f>
        <v>1215764.4700000046</v>
      </c>
      <c r="I44" s="342" t="s">
        <v>787</v>
      </c>
      <c r="J44" s="327">
        <f>SUM(I10:I42)-SUM(H10:H42)</f>
        <v>1215764.4700000046</v>
      </c>
      <c r="K44" s="710" t="s">
        <v>3644</v>
      </c>
      <c r="L44" s="228"/>
    </row>
    <row r="45" spans="2:12" ht="21.9" customHeight="1" thickBot="1">
      <c r="B45" s="7"/>
      <c r="C45" s="7"/>
      <c r="D45" s="7"/>
      <c r="E45" s="7"/>
      <c r="F45" s="7"/>
      <c r="G45" s="83"/>
      <c r="H45" s="343">
        <f>SUM(H10:H44)</f>
        <v>1218826.2400000046</v>
      </c>
      <c r="I45" s="344">
        <f>SUM(I10:I44)</f>
        <v>1218826.2400000046</v>
      </c>
      <c r="J45" s="256"/>
    </row>
    <row r="46" spans="2:12" ht="13.8" thickTop="1"/>
    <row r="47" spans="2:12" s="322" customFormat="1">
      <c r="H47" s="277"/>
      <c r="I47" s="277"/>
      <c r="J47" s="277"/>
    </row>
    <row r="48" spans="2:12" ht="13.8">
      <c r="B48" s="1507" t="s">
        <v>755</v>
      </c>
      <c r="C48" s="1507"/>
      <c r="D48" s="1507"/>
      <c r="E48" s="1507"/>
      <c r="F48" s="1507"/>
      <c r="G48" s="1507"/>
      <c r="H48" s="1507"/>
      <c r="I48" s="1507"/>
    </row>
  </sheetData>
  <sheetProtection algorithmName="SHA-512" hashValue="ttGto9hD3eCQEIv460FJ9753+r7EgbxT0VmzebXXBfxAGWQpFWOpM0EVPqqUkQKjIZcIdqsXMnTnSryi0/c+Mg==" saltValue="zAYrNoWqtcGVP8QNDRBQhA=="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topLeftCell="A28">
      <selection activeCell="I22" sqref="I22"/>
      <pageMargins left="0.25" right="0.25" top="0.5" bottom="0.5" header="0.25" footer="0.25"/>
      <pageSetup paperSize="5" orientation="portrait" r:id="rId2"/>
      <headerFooter alignWithMargins="0"/>
    </customSheetView>
    <customSheetView guid="{A64E4C9E-A3DA-4AAA-8607-F524450B9436}" showPageBreaks="1" fitToPage="1" printArea="1" topLeftCell="A7">
      <selection activeCell="H36" sqref="H36"/>
      <pageMargins left="0.25" right="0.25" top="0.5" bottom="0.5" header="0.25" footer="0.25"/>
      <pageSetup scale="80" orientation="portrait" r:id="rId3"/>
      <headerFooter alignWithMargins="0"/>
    </customSheetView>
    <customSheetView guid="{AB4FBD91-4533-473A-9702-569FF6402073}" fitToPage="1" topLeftCell="A28">
      <selection activeCell="K16" sqref="K16"/>
      <pageMargins left="0.25" right="0.25" top="0.5" bottom="0.5" header="0.25" footer="0.25"/>
      <pageSetup paperSize="5" orientation="portrait" r:id="rId4"/>
      <headerFooter alignWithMargins="0"/>
    </customSheetView>
  </customSheetViews>
  <mergeCells count="7">
    <mergeCell ref="B48:I48"/>
    <mergeCell ref="B3:I3"/>
    <mergeCell ref="B4:I4"/>
    <mergeCell ref="B6:I6"/>
    <mergeCell ref="B9:G9"/>
    <mergeCell ref="I17:I18"/>
    <mergeCell ref="H17:H18"/>
  </mergeCells>
  <phoneticPr fontId="0" type="noConversion"/>
  <pageMargins left="0.25" right="0.25" top="0.5" bottom="0.5" header="0.25" footer="0.25"/>
  <pageSetup paperSize="5" orientation="portrait" r:id="rId5"/>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pageSetUpPr fitToPage="1"/>
  </sheetPr>
  <dimension ref="B1:N55"/>
  <sheetViews>
    <sheetView topLeftCell="A37" zoomScaleNormal="100" workbookViewId="0">
      <selection activeCell="B3" sqref="B3:O3"/>
    </sheetView>
  </sheetViews>
  <sheetFormatPr defaultRowHeight="13.2"/>
  <cols>
    <col min="1" max="3" width="4.6640625" customWidth="1"/>
    <col min="4" max="4" width="12.33203125" customWidth="1"/>
    <col min="5" max="5" width="22.6640625" customWidth="1"/>
    <col min="6" max="6" width="25.88671875" customWidth="1"/>
    <col min="8" max="8" width="16.6640625" customWidth="1"/>
    <col min="9" max="9" width="11.44140625" bestFit="1" customWidth="1"/>
    <col min="10" max="10" width="10.33203125" bestFit="1" customWidth="1"/>
    <col min="11" max="11" width="10.88671875" bestFit="1" customWidth="1"/>
    <col min="13" max="13" width="12.44140625" style="287" bestFit="1" customWidth="1"/>
    <col min="14" max="14" width="10.44140625" style="287" bestFit="1" customWidth="1"/>
  </cols>
  <sheetData>
    <row r="1" spans="2:11">
      <c r="B1" s="322"/>
      <c r="C1" s="322"/>
      <c r="D1" s="322"/>
      <c r="E1" s="322"/>
      <c r="F1" s="322"/>
      <c r="G1" s="322"/>
      <c r="H1" s="322"/>
    </row>
    <row r="2" spans="2:11">
      <c r="B2" s="322"/>
      <c r="C2" s="322"/>
      <c r="D2" s="322"/>
      <c r="E2" s="322"/>
      <c r="F2" s="322"/>
      <c r="G2" s="322"/>
      <c r="H2" s="322"/>
    </row>
    <row r="3" spans="2:11" ht="22.8">
      <c r="B3" s="1549" t="s">
        <v>757</v>
      </c>
      <c r="C3" s="1549"/>
      <c r="D3" s="1549"/>
      <c r="E3" s="1549"/>
      <c r="F3" s="1549"/>
      <c r="G3" s="1549"/>
      <c r="H3" s="1549"/>
    </row>
    <row r="4" spans="2:11" ht="22.8">
      <c r="B4" s="1549" t="s">
        <v>758</v>
      </c>
      <c r="C4" s="1549"/>
      <c r="D4" s="1549"/>
      <c r="E4" s="1549"/>
      <c r="F4" s="1549"/>
      <c r="G4" s="1549"/>
      <c r="H4" s="1549"/>
    </row>
    <row r="5" spans="2:11" ht="15.6">
      <c r="B5" s="989"/>
      <c r="C5" s="989"/>
      <c r="D5" s="989"/>
      <c r="E5" s="989"/>
      <c r="F5" s="989"/>
      <c r="G5" s="989"/>
      <c r="H5" s="989"/>
    </row>
    <row r="6" spans="2:11" ht="8.25" customHeight="1" thickBot="1">
      <c r="B6" s="10"/>
      <c r="C6" s="10"/>
      <c r="D6" s="10"/>
      <c r="E6" s="10"/>
      <c r="F6" s="10"/>
      <c r="G6" s="10"/>
      <c r="H6" s="10"/>
    </row>
    <row r="7" spans="2:11" ht="32.1" customHeight="1" thickTop="1" thickBot="1">
      <c r="B7" s="1628" t="s">
        <v>211</v>
      </c>
      <c r="C7" s="1628"/>
      <c r="D7" s="1628"/>
      <c r="E7" s="1628"/>
      <c r="F7" s="1628"/>
      <c r="G7" s="1628"/>
      <c r="H7" s="81" t="s">
        <v>756</v>
      </c>
    </row>
    <row r="8" spans="2:11" ht="21.9" customHeight="1" thickTop="1">
      <c r="B8" s="642" t="s">
        <v>3935</v>
      </c>
      <c r="C8" s="642"/>
      <c r="D8" s="569"/>
      <c r="E8" s="569"/>
      <c r="F8" s="569"/>
      <c r="G8" s="569"/>
      <c r="H8" s="587">
        <v>1300</v>
      </c>
    </row>
    <row r="9" spans="2:11" ht="21.9" customHeight="1">
      <c r="B9" s="567" t="s">
        <v>3934</v>
      </c>
      <c r="C9" s="567"/>
      <c r="D9" s="566"/>
      <c r="E9" s="566"/>
      <c r="F9" s="566"/>
      <c r="G9" s="566"/>
      <c r="H9" s="568">
        <v>60</v>
      </c>
      <c r="I9" s="228"/>
      <c r="J9" s="360"/>
      <c r="K9" s="325"/>
    </row>
    <row r="10" spans="2:11" ht="21.9" customHeight="1">
      <c r="B10" s="567" t="s">
        <v>3924</v>
      </c>
      <c r="C10" s="567"/>
      <c r="D10" s="566"/>
      <c r="E10" s="566"/>
      <c r="F10" s="566"/>
      <c r="G10" s="566"/>
      <c r="H10" s="568">
        <v>99578.57</v>
      </c>
      <c r="I10" s="228"/>
      <c r="J10" s="360"/>
      <c r="K10" s="325"/>
    </row>
    <row r="11" spans="2:11" ht="21.9" customHeight="1">
      <c r="B11" s="567" t="s">
        <v>3925</v>
      </c>
      <c r="C11" s="567"/>
      <c r="D11" s="566"/>
      <c r="E11" s="566"/>
      <c r="F11" s="566"/>
      <c r="G11" s="566"/>
      <c r="H11" s="568">
        <v>8</v>
      </c>
      <c r="I11" s="228"/>
      <c r="J11" s="360"/>
      <c r="K11" s="325"/>
    </row>
    <row r="12" spans="2:11" ht="21.9" customHeight="1">
      <c r="B12" s="567" t="s">
        <v>3926</v>
      </c>
      <c r="C12" s="567"/>
      <c r="D12" s="566"/>
      <c r="E12" s="566"/>
      <c r="F12" s="566"/>
      <c r="G12" s="566"/>
      <c r="H12" s="568">
        <f>25011.13+1156.51</f>
        <v>26167.64</v>
      </c>
      <c r="I12" s="228"/>
      <c r="J12" s="277"/>
      <c r="K12" s="325"/>
    </row>
    <row r="13" spans="2:11" ht="21.9" customHeight="1">
      <c r="B13" s="567" t="s">
        <v>3927</v>
      </c>
      <c r="C13" s="567"/>
      <c r="D13" s="566"/>
      <c r="E13" s="566"/>
      <c r="F13" s="566"/>
      <c r="G13" s="566"/>
      <c r="H13" s="568">
        <f>91220.76-54262.64</f>
        <v>36958.119999999995</v>
      </c>
      <c r="I13" s="228"/>
      <c r="J13" s="360"/>
      <c r="K13" s="325"/>
    </row>
    <row r="14" spans="2:11" ht="21.9" customHeight="1">
      <c r="B14" s="567" t="s">
        <v>3928</v>
      </c>
      <c r="C14" s="567"/>
      <c r="D14" s="566"/>
      <c r="E14" s="566"/>
      <c r="F14" s="566"/>
      <c r="G14" s="566"/>
      <c r="H14" s="568">
        <v>41</v>
      </c>
      <c r="I14" s="228"/>
      <c r="J14" s="360"/>
      <c r="K14" s="325"/>
    </row>
    <row r="15" spans="2:11" ht="21.9" customHeight="1">
      <c r="B15" s="567" t="s">
        <v>3929</v>
      </c>
      <c r="C15" s="567"/>
      <c r="D15" s="566"/>
      <c r="E15" s="566"/>
      <c r="F15" s="566"/>
      <c r="G15" s="566"/>
      <c r="H15" s="568">
        <v>25266.37</v>
      </c>
      <c r="I15" s="228"/>
      <c r="J15" s="360"/>
      <c r="K15" s="325"/>
    </row>
    <row r="16" spans="2:11" ht="21.9" customHeight="1">
      <c r="B16" s="567" t="s">
        <v>3933</v>
      </c>
      <c r="C16" s="566"/>
      <c r="D16" s="566"/>
      <c r="E16" s="566"/>
      <c r="F16" s="566"/>
      <c r="G16" s="566"/>
      <c r="H16" s="568">
        <v>340</v>
      </c>
      <c r="I16" s="228"/>
      <c r="J16" s="360"/>
      <c r="K16" s="325"/>
    </row>
    <row r="17" spans="2:14" ht="21.9" customHeight="1">
      <c r="B17" s="567" t="s">
        <v>3930</v>
      </c>
      <c r="C17" s="566"/>
      <c r="D17" s="566"/>
      <c r="E17" s="566"/>
      <c r="F17" s="566"/>
      <c r="G17" s="566"/>
      <c r="H17" s="568">
        <v>1704.4</v>
      </c>
      <c r="I17" s="228"/>
      <c r="J17" s="360"/>
      <c r="K17" s="325"/>
    </row>
    <row r="18" spans="2:14" ht="21.9" customHeight="1">
      <c r="B18" s="567" t="s">
        <v>3931</v>
      </c>
      <c r="C18" s="566"/>
      <c r="D18" s="566"/>
      <c r="E18" s="566"/>
      <c r="F18" s="566"/>
      <c r="G18" s="566"/>
      <c r="H18" s="568">
        <v>1813.12</v>
      </c>
      <c r="J18" s="360"/>
      <c r="K18" s="325"/>
    </row>
    <row r="19" spans="2:14" ht="21.9" customHeight="1">
      <c r="B19" s="567" t="s">
        <v>3932</v>
      </c>
      <c r="C19" s="566"/>
      <c r="D19" s="566"/>
      <c r="E19" s="566"/>
      <c r="F19" s="566"/>
      <c r="G19" s="566"/>
      <c r="H19" s="568">
        <v>84.81</v>
      </c>
      <c r="J19" s="360"/>
      <c r="K19" s="325"/>
      <c r="L19" s="322"/>
    </row>
    <row r="20" spans="2:14" ht="21.9" customHeight="1">
      <c r="B20" s="566" t="s">
        <v>3937</v>
      </c>
      <c r="C20" s="566"/>
      <c r="D20" s="566"/>
      <c r="E20" s="566"/>
      <c r="F20" s="566"/>
      <c r="G20" s="566"/>
      <c r="H20" s="568">
        <v>515</v>
      </c>
      <c r="J20" s="277"/>
      <c r="K20" s="325"/>
    </row>
    <row r="21" spans="2:14" ht="21.9" customHeight="1">
      <c r="B21" s="566"/>
      <c r="C21" s="566"/>
      <c r="D21" s="566"/>
      <c r="E21" s="566"/>
      <c r="F21" s="566"/>
      <c r="G21" s="566"/>
      <c r="H21" s="568"/>
      <c r="J21" s="277"/>
      <c r="K21" s="325"/>
    </row>
    <row r="22" spans="2:14" ht="21.9" customHeight="1">
      <c r="B22" s="566"/>
      <c r="C22" s="566"/>
      <c r="D22" s="566"/>
      <c r="E22" s="566"/>
      <c r="F22" s="566"/>
      <c r="G22" s="566"/>
      <c r="H22" s="568"/>
      <c r="J22" s="360"/>
      <c r="K22" s="325"/>
    </row>
    <row r="23" spans="2:14" ht="21.9" customHeight="1">
      <c r="B23" s="566"/>
      <c r="C23" s="566"/>
      <c r="D23" s="566"/>
      <c r="E23" s="566"/>
      <c r="F23" s="566"/>
      <c r="G23" s="566"/>
      <c r="H23" s="568"/>
      <c r="J23" s="360"/>
      <c r="K23" s="325"/>
    </row>
    <row r="24" spans="2:14" ht="21.9" customHeight="1">
      <c r="B24" s="566"/>
      <c r="C24" s="566"/>
      <c r="D24" s="566"/>
      <c r="E24" s="566"/>
      <c r="F24" s="566"/>
      <c r="G24" s="566"/>
      <c r="H24" s="568"/>
      <c r="J24" s="360"/>
      <c r="K24" s="325"/>
    </row>
    <row r="25" spans="2:14" ht="21.9" customHeight="1">
      <c r="B25" s="566"/>
      <c r="C25" s="566"/>
      <c r="D25" s="566"/>
      <c r="E25" s="566"/>
      <c r="F25" s="566"/>
      <c r="G25" s="566"/>
      <c r="H25" s="568"/>
      <c r="J25" s="360"/>
      <c r="K25" s="325"/>
    </row>
    <row r="26" spans="2:14" ht="21.9" customHeight="1">
      <c r="B26" s="566"/>
      <c r="C26" s="566"/>
      <c r="D26" s="566"/>
      <c r="E26" s="566"/>
      <c r="F26" s="566"/>
      <c r="G26" s="566"/>
      <c r="H26" s="568"/>
      <c r="J26" s="360"/>
      <c r="K26" s="325"/>
      <c r="L26" s="322"/>
    </row>
    <row r="27" spans="2:14" s="322" customFormat="1" ht="21.9" customHeight="1">
      <c r="B27" s="566"/>
      <c r="C27" s="566"/>
      <c r="D27" s="566"/>
      <c r="E27" s="566"/>
      <c r="F27" s="566"/>
      <c r="G27" s="566"/>
      <c r="H27" s="568"/>
      <c r="J27" s="277"/>
      <c r="K27" s="325"/>
      <c r="M27" s="287"/>
      <c r="N27" s="287"/>
    </row>
    <row r="28" spans="2:14" s="322" customFormat="1" ht="21.9" customHeight="1">
      <c r="B28" s="566"/>
      <c r="C28" s="566"/>
      <c r="D28" s="566"/>
      <c r="E28" s="566"/>
      <c r="F28" s="566"/>
      <c r="G28" s="566"/>
      <c r="H28" s="568"/>
      <c r="J28" s="277"/>
      <c r="K28" s="325"/>
      <c r="M28" s="287"/>
      <c r="N28" s="287"/>
    </row>
    <row r="29" spans="2:14" s="322" customFormat="1" ht="21.9" customHeight="1">
      <c r="B29" s="566"/>
      <c r="C29" s="566"/>
      <c r="D29" s="566"/>
      <c r="E29" s="566"/>
      <c r="F29" s="566"/>
      <c r="G29" s="566"/>
      <c r="H29" s="568"/>
      <c r="J29" s="360"/>
      <c r="K29" s="325"/>
      <c r="M29" s="287"/>
      <c r="N29" s="287"/>
    </row>
    <row r="30" spans="2:14" s="322" customFormat="1" ht="21.9" customHeight="1">
      <c r="B30" s="566"/>
      <c r="C30" s="566"/>
      <c r="D30" s="566"/>
      <c r="E30" s="566"/>
      <c r="F30" s="566"/>
      <c r="G30" s="566"/>
      <c r="H30" s="568"/>
      <c r="J30" s="277"/>
      <c r="K30" s="325"/>
      <c r="M30" s="287"/>
      <c r="N30" s="287"/>
    </row>
    <row r="31" spans="2:14" s="322" customFormat="1" ht="21.9" customHeight="1">
      <c r="B31" s="566"/>
      <c r="C31" s="566"/>
      <c r="D31" s="566"/>
      <c r="E31" s="566"/>
      <c r="F31" s="566"/>
      <c r="G31" s="566"/>
      <c r="H31" s="568"/>
      <c r="J31" s="360"/>
      <c r="K31" s="325"/>
      <c r="M31" s="287"/>
      <c r="N31" s="287"/>
    </row>
    <row r="32" spans="2:14" s="322" customFormat="1" ht="21.9" customHeight="1">
      <c r="B32" s="566"/>
      <c r="C32" s="566"/>
      <c r="D32" s="566"/>
      <c r="E32" s="566"/>
      <c r="F32" s="566"/>
      <c r="G32" s="566"/>
      <c r="H32" s="568"/>
      <c r="K32" s="325"/>
      <c r="N32" s="325"/>
    </row>
    <row r="33" spans="2:14" s="322" customFormat="1" ht="21.9" customHeight="1">
      <c r="B33" s="566"/>
      <c r="C33" s="566"/>
      <c r="D33" s="566"/>
      <c r="E33" s="566"/>
      <c r="F33" s="566"/>
      <c r="G33" s="566"/>
      <c r="H33" s="568"/>
      <c r="J33" s="338"/>
      <c r="K33" s="325"/>
      <c r="M33" s="287"/>
      <c r="N33" s="287"/>
    </row>
    <row r="34" spans="2:14" s="322" customFormat="1" ht="21.9" customHeight="1">
      <c r="B34" s="566"/>
      <c r="C34" s="566"/>
      <c r="D34" s="566"/>
      <c r="E34" s="566"/>
      <c r="F34" s="566"/>
      <c r="G34" s="566"/>
      <c r="H34" s="568"/>
      <c r="J34" s="338"/>
      <c r="K34" s="325"/>
      <c r="M34" s="287"/>
      <c r="N34" s="287"/>
    </row>
    <row r="35" spans="2:14" s="322" customFormat="1" ht="21.9" customHeight="1">
      <c r="B35" s="566"/>
      <c r="C35" s="566"/>
      <c r="D35" s="566"/>
      <c r="E35" s="566"/>
      <c r="F35" s="566"/>
      <c r="G35" s="566"/>
      <c r="H35" s="568"/>
      <c r="J35" s="338"/>
      <c r="K35" s="325"/>
      <c r="M35" s="287"/>
      <c r="N35" s="287"/>
    </row>
    <row r="36" spans="2:14" s="322" customFormat="1" ht="21.9" customHeight="1">
      <c r="B36" s="566"/>
      <c r="C36" s="566"/>
      <c r="D36" s="566"/>
      <c r="E36" s="566"/>
      <c r="F36" s="566"/>
      <c r="G36" s="566"/>
      <c r="H36" s="568"/>
      <c r="J36" s="338"/>
      <c r="K36" s="325"/>
      <c r="M36" s="287"/>
      <c r="N36" s="287"/>
    </row>
    <row r="37" spans="2:14" ht="21.9" customHeight="1">
      <c r="B37" s="566"/>
      <c r="C37" s="566"/>
      <c r="D37" s="566"/>
      <c r="E37" s="566"/>
      <c r="F37" s="566"/>
      <c r="G37" s="566"/>
      <c r="H37" s="568"/>
      <c r="K37" s="325"/>
    </row>
    <row r="38" spans="2:14" ht="21.9" customHeight="1">
      <c r="B38" s="566"/>
      <c r="C38" s="566"/>
      <c r="D38" s="566"/>
      <c r="E38" s="566"/>
      <c r="F38" s="566"/>
      <c r="G38" s="566"/>
      <c r="H38" s="568"/>
      <c r="K38" s="325"/>
    </row>
    <row r="39" spans="2:14" ht="21.9" customHeight="1">
      <c r="B39" s="566"/>
      <c r="C39" s="566"/>
      <c r="D39" s="566"/>
      <c r="E39" s="566"/>
      <c r="F39" s="566"/>
      <c r="G39" s="566"/>
      <c r="H39" s="568"/>
      <c r="K39" s="325"/>
    </row>
    <row r="40" spans="2:14" ht="21.9" customHeight="1" thickBot="1">
      <c r="B40" s="566"/>
      <c r="C40" s="566"/>
      <c r="D40" s="566"/>
      <c r="E40" s="566"/>
      <c r="F40" s="566"/>
      <c r="G40" s="566"/>
      <c r="H40" s="588"/>
    </row>
    <row r="41" spans="2:14" ht="21.9" customHeight="1" thickBot="1">
      <c r="B41" s="82" t="s">
        <v>328</v>
      </c>
      <c r="C41" s="323"/>
      <c r="D41" s="323"/>
      <c r="E41" s="323"/>
      <c r="F41" s="323"/>
      <c r="G41" s="323"/>
      <c r="H41" s="238">
        <f>SUM(H8:H40)</f>
        <v>193837.03</v>
      </c>
      <c r="J41" s="228"/>
    </row>
    <row r="42" spans="2:14" ht="13.8" thickTop="1"/>
    <row r="43" spans="2:14">
      <c r="I43" s="228"/>
    </row>
    <row r="44" spans="2:14">
      <c r="I44" s="228"/>
    </row>
    <row r="45" spans="2:14">
      <c r="I45" s="228"/>
    </row>
    <row r="46" spans="2:14">
      <c r="I46" s="228"/>
    </row>
    <row r="47" spans="2:14" ht="13.8">
      <c r="B47" s="1507" t="s">
        <v>759</v>
      </c>
      <c r="C47" s="1507"/>
      <c r="D47" s="1507"/>
      <c r="E47" s="1507"/>
      <c r="F47" s="1507"/>
      <c r="G47" s="1507"/>
      <c r="H47" s="1507"/>
    </row>
    <row r="48" spans="2:14">
      <c r="I48" s="228"/>
    </row>
    <row r="54" spans="8:8">
      <c r="H54" s="228"/>
    </row>
    <row r="55" spans="8:8">
      <c r="H55" s="228"/>
    </row>
  </sheetData>
  <sheetProtection password="CAF9" sheet="1" objects="1" scenarios="1"/>
  <sortState xmlns:xlrd2="http://schemas.microsoft.com/office/spreadsheetml/2017/richdata2" ref="C9:H23">
    <sortCondition ref="C9:C23"/>
  </sortState>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21" sqref="B21"/>
      <pageMargins left="0.25" right="0.25" top="0.5" bottom="0.5" header="0.25" footer="0.25"/>
      <pageSetup paperSize="5" orientation="portrait" r:id="rId2"/>
      <headerFooter alignWithMargins="0"/>
    </customSheetView>
    <customSheetView guid="{A64E4C9E-A3DA-4AAA-8607-F524450B9436}">
      <selection activeCell="B21" sqref="B21"/>
      <pageMargins left="0.25" right="0.25" top="0.5" bottom="0.5" header="0.25" footer="0.25"/>
      <pageSetup paperSize="5" orientation="portrait" r:id="rId3"/>
      <headerFooter alignWithMargins="0"/>
    </customSheetView>
    <customSheetView guid="{AB4FBD91-4533-473A-9702-569FF6402073}" topLeftCell="A28">
      <selection activeCell="H14" sqref="H14"/>
      <pageMargins left="0.25" right="0.25" top="0.5" bottom="0.5" header="0.25" footer="0.25"/>
      <pageSetup paperSize="5" orientation="portrait" r:id="rId4"/>
      <headerFooter alignWithMargins="0"/>
    </customSheetView>
  </customSheetViews>
  <mergeCells count="4">
    <mergeCell ref="B47:H47"/>
    <mergeCell ref="B3:H3"/>
    <mergeCell ref="B4:H4"/>
    <mergeCell ref="B7:G7"/>
  </mergeCells>
  <phoneticPr fontId="0" type="noConversion"/>
  <conditionalFormatting sqref="J9:J18 J20:J31">
    <cfRule type="cellIs" dxfId="5" priority="4" stopIfTrue="1" operator="equal">
      <formula>0</formula>
    </cfRule>
  </conditionalFormatting>
  <conditionalFormatting sqref="J19">
    <cfRule type="cellIs" dxfId="4" priority="3" stopIfTrue="1" operator="equal">
      <formula>0</formula>
    </cfRule>
  </conditionalFormatting>
  <pageMargins left="0.25" right="0.25" top="0.5" bottom="0.5" header="0.25" footer="0.25"/>
  <pageSetup paperSize="5" orientation="portrait" r:id="rId5"/>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pageSetUpPr fitToPage="1"/>
  </sheetPr>
  <dimension ref="B3:N55"/>
  <sheetViews>
    <sheetView topLeftCell="A55" workbookViewId="0">
      <selection activeCell="B3" sqref="B3:O3"/>
    </sheetView>
  </sheetViews>
  <sheetFormatPr defaultColWidth="9.109375" defaultRowHeight="13.2"/>
  <cols>
    <col min="1" max="3" width="4.6640625" style="322" customWidth="1"/>
    <col min="4" max="4" width="12.33203125" style="322" customWidth="1"/>
    <col min="5" max="5" width="22.6640625" style="322" customWidth="1"/>
    <col min="6" max="6" width="25.88671875" style="322" customWidth="1"/>
    <col min="7" max="7" width="9.109375" style="322"/>
    <col min="8" max="8" width="16.6640625" style="322" customWidth="1"/>
    <col min="9" max="9" width="11.44140625" style="322" bestFit="1" customWidth="1"/>
    <col min="10" max="10" width="10.33203125" style="322" bestFit="1" customWidth="1"/>
    <col min="11" max="11" width="10.88671875" style="322" bestFit="1" customWidth="1"/>
    <col min="12" max="12" width="9.109375" style="322"/>
    <col min="13" max="13" width="12.44140625" style="287" bestFit="1" customWidth="1"/>
    <col min="14" max="14" width="10.44140625" style="287" bestFit="1" customWidth="1"/>
    <col min="15" max="16384" width="9.109375" style="322"/>
  </cols>
  <sheetData>
    <row r="3" spans="2:11" ht="22.8">
      <c r="B3" s="1549" t="s">
        <v>757</v>
      </c>
      <c r="C3" s="1549"/>
      <c r="D3" s="1549"/>
      <c r="E3" s="1549"/>
      <c r="F3" s="1549"/>
      <c r="G3" s="1549"/>
      <c r="H3" s="1549"/>
    </row>
    <row r="4" spans="2:11" ht="22.8">
      <c r="B4" s="1549" t="s">
        <v>758</v>
      </c>
      <c r="C4" s="1549"/>
      <c r="D4" s="1549"/>
      <c r="E4" s="1549"/>
      <c r="F4" s="1549"/>
      <c r="G4" s="1549"/>
      <c r="H4" s="1549"/>
    </row>
    <row r="5" spans="2:11" ht="15.6">
      <c r="B5" s="989"/>
      <c r="C5" s="989"/>
      <c r="D5" s="989"/>
      <c r="E5" s="989"/>
      <c r="F5" s="989"/>
      <c r="G5" s="989"/>
      <c r="H5" s="989"/>
    </row>
    <row r="6" spans="2:11" ht="8.25" customHeight="1" thickBot="1">
      <c r="B6" s="10"/>
      <c r="C6" s="10"/>
      <c r="D6" s="10"/>
      <c r="E6" s="10"/>
      <c r="F6" s="10"/>
      <c r="G6" s="10"/>
      <c r="H6" s="10"/>
    </row>
    <row r="7" spans="2:11" ht="32.1" customHeight="1" thickTop="1" thickBot="1">
      <c r="B7" s="1629" t="s">
        <v>211</v>
      </c>
      <c r="C7" s="1629"/>
      <c r="D7" s="1629"/>
      <c r="E7" s="1629"/>
      <c r="F7" s="1629"/>
      <c r="G7" s="1629"/>
      <c r="H7" s="1035" t="s">
        <v>756</v>
      </c>
    </row>
    <row r="8" spans="2:11" ht="21.9" customHeight="1" thickTop="1">
      <c r="B8" s="883"/>
      <c r="C8" s="882" t="s">
        <v>3546</v>
      </c>
      <c r="D8" s="883"/>
      <c r="E8" s="883"/>
      <c r="F8" s="883"/>
      <c r="G8" s="883"/>
      <c r="H8" s="884">
        <f>+'20-Misc Rev Not Ant'!H41</f>
        <v>193837.03</v>
      </c>
    </row>
    <row r="9" spans="2:11" ht="21.9" customHeight="1">
      <c r="B9" s="566"/>
      <c r="C9" s="567"/>
      <c r="D9" s="566"/>
      <c r="E9" s="566"/>
      <c r="F9" s="566"/>
      <c r="G9" s="566"/>
      <c r="H9" s="568"/>
      <c r="I9" s="325"/>
      <c r="J9" s="360"/>
      <c r="K9" s="325"/>
    </row>
    <row r="10" spans="2:11" ht="21.9" customHeight="1">
      <c r="B10" s="566"/>
      <c r="C10" s="567"/>
      <c r="D10" s="566"/>
      <c r="E10" s="566"/>
      <c r="F10" s="566"/>
      <c r="G10" s="566"/>
      <c r="H10" s="568"/>
      <c r="I10" s="325"/>
      <c r="J10" s="360"/>
      <c r="K10" s="325"/>
    </row>
    <row r="11" spans="2:11" ht="21.9" customHeight="1">
      <c r="B11" s="566"/>
      <c r="C11" s="567"/>
      <c r="D11" s="566"/>
      <c r="E11" s="566"/>
      <c r="F11" s="566"/>
      <c r="G11" s="566"/>
      <c r="H11" s="568"/>
      <c r="I11" s="325"/>
      <c r="J11" s="360"/>
      <c r="K11" s="325"/>
    </row>
    <row r="12" spans="2:11" ht="21.9" customHeight="1">
      <c r="B12" s="566"/>
      <c r="C12" s="567"/>
      <c r="D12" s="566"/>
      <c r="E12" s="566"/>
      <c r="F12" s="566"/>
      <c r="G12" s="566"/>
      <c r="H12" s="568"/>
      <c r="I12" s="325"/>
      <c r="J12" s="277"/>
      <c r="K12" s="325"/>
    </row>
    <row r="13" spans="2:11" ht="21.9" customHeight="1">
      <c r="B13" s="566"/>
      <c r="C13" s="567"/>
      <c r="D13" s="566"/>
      <c r="E13" s="566"/>
      <c r="F13" s="566"/>
      <c r="G13" s="566"/>
      <c r="H13" s="568"/>
      <c r="I13" s="325"/>
      <c r="J13" s="360"/>
      <c r="K13" s="325"/>
    </row>
    <row r="14" spans="2:11" ht="21.9" customHeight="1">
      <c r="B14" s="566"/>
      <c r="C14" s="567"/>
      <c r="D14" s="566"/>
      <c r="E14" s="566"/>
      <c r="F14" s="566"/>
      <c r="G14" s="566"/>
      <c r="H14" s="568"/>
      <c r="I14" s="325"/>
      <c r="J14" s="360"/>
      <c r="K14" s="325"/>
    </row>
    <row r="15" spans="2:11" ht="21.9" customHeight="1">
      <c r="B15" s="566"/>
      <c r="C15" s="567"/>
      <c r="D15" s="566"/>
      <c r="E15" s="566"/>
      <c r="F15" s="566"/>
      <c r="G15" s="566"/>
      <c r="H15" s="568"/>
      <c r="I15" s="325"/>
      <c r="J15" s="360"/>
      <c r="K15" s="325"/>
    </row>
    <row r="16" spans="2:11" ht="21.9" customHeight="1">
      <c r="B16" s="566"/>
      <c r="C16" s="567"/>
      <c r="D16" s="566"/>
      <c r="E16" s="566"/>
      <c r="F16" s="566"/>
      <c r="G16" s="566"/>
      <c r="H16" s="568"/>
      <c r="I16" s="325"/>
      <c r="J16" s="360"/>
      <c r="K16" s="325"/>
    </row>
    <row r="17" spans="2:14" ht="21.9" customHeight="1">
      <c r="B17" s="566"/>
      <c r="C17" s="566"/>
      <c r="D17" s="566"/>
      <c r="E17" s="566"/>
      <c r="F17" s="566"/>
      <c r="G17" s="566"/>
      <c r="H17" s="568"/>
      <c r="I17" s="325"/>
      <c r="J17" s="360"/>
      <c r="K17" s="325"/>
    </row>
    <row r="18" spans="2:14" ht="21.9" customHeight="1">
      <c r="B18" s="566"/>
      <c r="C18" s="566"/>
      <c r="D18" s="566"/>
      <c r="E18" s="566"/>
      <c r="F18" s="566"/>
      <c r="G18" s="566"/>
      <c r="H18" s="568"/>
      <c r="J18" s="360"/>
      <c r="K18" s="325"/>
    </row>
    <row r="19" spans="2:14" ht="21.9" customHeight="1">
      <c r="B19" s="566"/>
      <c r="C19" s="566"/>
      <c r="D19" s="566"/>
      <c r="E19" s="566"/>
      <c r="F19" s="566"/>
      <c r="G19" s="566"/>
      <c r="H19" s="568"/>
      <c r="J19" s="360"/>
      <c r="K19" s="325"/>
    </row>
    <row r="20" spans="2:14" ht="21.9" customHeight="1">
      <c r="B20" s="566"/>
      <c r="C20" s="566"/>
      <c r="D20" s="566"/>
      <c r="E20" s="566"/>
      <c r="F20" s="566"/>
      <c r="G20" s="566"/>
      <c r="H20" s="568"/>
      <c r="J20" s="277"/>
      <c r="K20" s="325"/>
    </row>
    <row r="21" spans="2:14" ht="21.9" customHeight="1">
      <c r="B21" s="566"/>
      <c r="C21" s="566"/>
      <c r="D21" s="566"/>
      <c r="E21" s="566"/>
      <c r="F21" s="566"/>
      <c r="G21" s="566"/>
      <c r="H21" s="568"/>
      <c r="J21" s="277"/>
      <c r="K21" s="325"/>
    </row>
    <row r="22" spans="2:14" ht="21.9" customHeight="1">
      <c r="B22" s="566"/>
      <c r="C22" s="566"/>
      <c r="D22" s="566"/>
      <c r="E22" s="566"/>
      <c r="F22" s="566"/>
      <c r="G22" s="566"/>
      <c r="H22" s="568"/>
      <c r="J22" s="360"/>
      <c r="K22" s="325"/>
    </row>
    <row r="23" spans="2:14" ht="21.9" customHeight="1">
      <c r="B23" s="566"/>
      <c r="C23" s="566"/>
      <c r="D23" s="566"/>
      <c r="E23" s="566"/>
      <c r="F23" s="566"/>
      <c r="G23" s="566"/>
      <c r="H23" s="568"/>
      <c r="J23" s="360"/>
      <c r="K23" s="325"/>
    </row>
    <row r="24" spans="2:14" ht="21.9" customHeight="1">
      <c r="B24" s="566"/>
      <c r="C24" s="566"/>
      <c r="D24" s="566"/>
      <c r="E24" s="566"/>
      <c r="F24" s="566"/>
      <c r="G24" s="566"/>
      <c r="H24" s="568"/>
      <c r="J24" s="360"/>
      <c r="K24" s="325"/>
    </row>
    <row r="25" spans="2:14" ht="21.9" customHeight="1">
      <c r="B25" s="566"/>
      <c r="C25" s="566"/>
      <c r="D25" s="566"/>
      <c r="E25" s="566"/>
      <c r="F25" s="566"/>
      <c r="G25" s="566"/>
      <c r="H25" s="568"/>
      <c r="J25" s="360"/>
      <c r="K25" s="325"/>
    </row>
    <row r="26" spans="2:14" ht="21.9" customHeight="1">
      <c r="B26" s="566"/>
      <c r="C26" s="566"/>
      <c r="D26" s="566"/>
      <c r="E26" s="566"/>
      <c r="F26" s="566"/>
      <c r="G26" s="566"/>
      <c r="H26" s="568"/>
      <c r="J26" s="360"/>
      <c r="K26" s="325"/>
    </row>
    <row r="27" spans="2:14" ht="21.9" customHeight="1">
      <c r="B27" s="566"/>
      <c r="C27" s="566"/>
      <c r="D27" s="566"/>
      <c r="E27" s="566"/>
      <c r="F27" s="566"/>
      <c r="G27" s="566"/>
      <c r="H27" s="568"/>
      <c r="J27" s="277"/>
      <c r="K27" s="325"/>
    </row>
    <row r="28" spans="2:14" ht="21.9" customHeight="1">
      <c r="B28" s="566"/>
      <c r="C28" s="566"/>
      <c r="D28" s="566"/>
      <c r="E28" s="566"/>
      <c r="F28" s="566"/>
      <c r="G28" s="566"/>
      <c r="H28" s="568"/>
      <c r="J28" s="277"/>
      <c r="K28" s="325"/>
    </row>
    <row r="29" spans="2:14" ht="21.9" customHeight="1">
      <c r="B29" s="566"/>
      <c r="C29" s="566"/>
      <c r="D29" s="566"/>
      <c r="E29" s="566"/>
      <c r="F29" s="566"/>
      <c r="G29" s="566"/>
      <c r="H29" s="568"/>
      <c r="J29" s="360"/>
      <c r="K29" s="325"/>
    </row>
    <row r="30" spans="2:14" ht="21.9" customHeight="1">
      <c r="B30" s="566"/>
      <c r="C30" s="566"/>
      <c r="D30" s="566"/>
      <c r="E30" s="566"/>
      <c r="F30" s="566"/>
      <c r="G30" s="566"/>
      <c r="H30" s="568"/>
      <c r="J30" s="277"/>
      <c r="K30" s="325"/>
    </row>
    <row r="31" spans="2:14" ht="21.9" customHeight="1">
      <c r="B31" s="566"/>
      <c r="C31" s="566"/>
      <c r="D31" s="566"/>
      <c r="E31" s="566"/>
      <c r="F31" s="566"/>
      <c r="G31" s="566"/>
      <c r="H31" s="568"/>
      <c r="J31" s="360"/>
      <c r="K31" s="325"/>
    </row>
    <row r="32" spans="2:14" ht="21.9" customHeight="1">
      <c r="B32" s="566"/>
      <c r="C32" s="566"/>
      <c r="D32" s="566"/>
      <c r="E32" s="566"/>
      <c r="F32" s="566"/>
      <c r="G32" s="566"/>
      <c r="H32" s="568"/>
      <c r="K32" s="325"/>
      <c r="M32" s="322"/>
      <c r="N32" s="325"/>
    </row>
    <row r="33" spans="2:11" ht="21.9" customHeight="1">
      <c r="B33" s="566"/>
      <c r="C33" s="566"/>
      <c r="D33" s="566"/>
      <c r="E33" s="566"/>
      <c r="F33" s="566"/>
      <c r="G33" s="566"/>
      <c r="H33" s="568"/>
      <c r="J33" s="338"/>
      <c r="K33" s="325"/>
    </row>
    <row r="34" spans="2:11" ht="21.9" customHeight="1">
      <c r="B34" s="566"/>
      <c r="C34" s="566"/>
      <c r="D34" s="566"/>
      <c r="E34" s="566"/>
      <c r="F34" s="566"/>
      <c r="G34" s="566"/>
      <c r="H34" s="568"/>
      <c r="J34" s="338"/>
      <c r="K34" s="325"/>
    </row>
    <row r="35" spans="2:11" ht="21.9" customHeight="1">
      <c r="B35" s="566"/>
      <c r="C35" s="566"/>
      <c r="D35" s="566"/>
      <c r="E35" s="566"/>
      <c r="F35" s="566"/>
      <c r="G35" s="566"/>
      <c r="H35" s="568"/>
      <c r="J35" s="338"/>
      <c r="K35" s="325"/>
    </row>
    <row r="36" spans="2:11" ht="21.9" customHeight="1">
      <c r="B36" s="566"/>
      <c r="C36" s="566"/>
      <c r="D36" s="566"/>
      <c r="E36" s="566"/>
      <c r="F36" s="566"/>
      <c r="G36" s="566"/>
      <c r="H36" s="568"/>
      <c r="J36" s="338"/>
      <c r="K36" s="325"/>
    </row>
    <row r="37" spans="2:11" ht="21.9" customHeight="1">
      <c r="B37" s="566"/>
      <c r="C37" s="566"/>
      <c r="D37" s="566"/>
      <c r="E37" s="566"/>
      <c r="F37" s="566"/>
      <c r="G37" s="566"/>
      <c r="H37" s="568"/>
      <c r="K37" s="325"/>
    </row>
    <row r="38" spans="2:11" ht="21.9" customHeight="1">
      <c r="B38" s="566"/>
      <c r="C38" s="566"/>
      <c r="D38" s="566"/>
      <c r="E38" s="566"/>
      <c r="F38" s="566"/>
      <c r="G38" s="566"/>
      <c r="H38" s="568"/>
      <c r="K38" s="325"/>
    </row>
    <row r="39" spans="2:11" ht="21.9" customHeight="1">
      <c r="B39" s="566"/>
      <c r="C39" s="566"/>
      <c r="D39" s="566"/>
      <c r="E39" s="566"/>
      <c r="F39" s="566"/>
      <c r="G39" s="566"/>
      <c r="H39" s="568"/>
      <c r="K39" s="325"/>
    </row>
    <row r="40" spans="2:11" ht="21.9" customHeight="1" thickBot="1">
      <c r="B40" s="566"/>
      <c r="C40" s="566"/>
      <c r="D40" s="566"/>
      <c r="E40" s="566"/>
      <c r="F40" s="566"/>
      <c r="G40" s="566"/>
      <c r="H40" s="588"/>
    </row>
    <row r="41" spans="2:11" ht="21.9" customHeight="1" thickBot="1">
      <c r="B41" s="82" t="s">
        <v>3619</v>
      </c>
      <c r="C41" s="323"/>
      <c r="D41" s="323"/>
      <c r="E41" s="323"/>
      <c r="F41" s="323"/>
      <c r="G41" s="323"/>
      <c r="H41" s="238">
        <f>SUM(H8:H40)</f>
        <v>193837.03</v>
      </c>
      <c r="J41" s="325"/>
    </row>
    <row r="42" spans="2:11" ht="13.8" thickTop="1"/>
    <row r="43" spans="2:11">
      <c r="I43" s="325"/>
    </row>
    <row r="44" spans="2:11">
      <c r="I44" s="325"/>
    </row>
    <row r="45" spans="2:11">
      <c r="I45" s="325"/>
    </row>
    <row r="46" spans="2:11">
      <c r="I46" s="325"/>
    </row>
    <row r="47" spans="2:11" ht="13.8">
      <c r="B47" s="1507" t="s">
        <v>3618</v>
      </c>
      <c r="C47" s="1507"/>
      <c r="D47" s="1507"/>
      <c r="E47" s="1507"/>
      <c r="F47" s="1507"/>
      <c r="G47" s="1507"/>
      <c r="H47" s="1507"/>
    </row>
    <row r="48" spans="2:11">
      <c r="I48" s="325"/>
    </row>
    <row r="54" spans="8:8">
      <c r="H54" s="325"/>
    </row>
    <row r="55" spans="8:8">
      <c r="H55" s="32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4">
    <mergeCell ref="B3:H3"/>
    <mergeCell ref="B4:H4"/>
    <mergeCell ref="B7:G7"/>
    <mergeCell ref="B47:H47"/>
  </mergeCells>
  <conditionalFormatting sqref="J9:J18 J20:J31">
    <cfRule type="cellIs" dxfId="3" priority="2" stopIfTrue="1" operator="equal">
      <formula>0</formula>
    </cfRule>
  </conditionalFormatting>
  <conditionalFormatting sqref="J19">
    <cfRule type="cellIs" dxfId="2" priority="1" stopIfTrue="1" operator="equal">
      <formula>0</formula>
    </cfRule>
  </conditionalFormatting>
  <pageMargins left="0.25" right="0.25" top="0.5" bottom="0.5" header="0.25" footer="0.25"/>
  <pageSetup paperSize="5" orientation="portrait" r:id="rId5"/>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pageSetUpPr fitToPage="1"/>
  </sheetPr>
  <dimension ref="B1:N55"/>
  <sheetViews>
    <sheetView topLeftCell="A34" workbookViewId="0">
      <selection activeCell="B3" sqref="B3:O3"/>
    </sheetView>
  </sheetViews>
  <sheetFormatPr defaultColWidth="9.109375" defaultRowHeight="13.2"/>
  <cols>
    <col min="1" max="3" width="4.6640625" style="322" customWidth="1"/>
    <col min="4" max="4" width="12.33203125" style="322" customWidth="1"/>
    <col min="5" max="5" width="22.6640625" style="322" customWidth="1"/>
    <col min="6" max="6" width="25.88671875" style="322" customWidth="1"/>
    <col min="7" max="7" width="9.109375" style="322"/>
    <col min="8" max="8" width="16.6640625" style="322" customWidth="1"/>
    <col min="9" max="9" width="11.44140625" style="322" bestFit="1" customWidth="1"/>
    <col min="10" max="10" width="10.33203125" style="322" bestFit="1" customWidth="1"/>
    <col min="11" max="11" width="10.88671875" style="322" bestFit="1" customWidth="1"/>
    <col min="12" max="12" width="9.109375" style="322"/>
    <col min="13" max="13" width="12.44140625" style="287" bestFit="1" customWidth="1"/>
    <col min="14" max="14" width="10.44140625" style="287" bestFit="1" customWidth="1"/>
    <col min="15" max="16384" width="9.109375" style="322"/>
  </cols>
  <sheetData>
    <row r="1" spans="2:11">
      <c r="B1" s="853"/>
      <c r="C1" s="853"/>
      <c r="D1" s="853"/>
      <c r="E1" s="853"/>
      <c r="F1" s="853"/>
      <c r="G1" s="853"/>
      <c r="H1" s="853"/>
    </row>
    <row r="2" spans="2:11">
      <c r="B2" s="853"/>
      <c r="C2" s="853"/>
      <c r="D2" s="853"/>
      <c r="E2" s="853"/>
      <c r="F2" s="853"/>
      <c r="G2" s="853"/>
      <c r="H2" s="853"/>
    </row>
    <row r="3" spans="2:11" ht="22.8">
      <c r="B3" s="1565" t="s">
        <v>757</v>
      </c>
      <c r="C3" s="1565"/>
      <c r="D3" s="1565"/>
      <c r="E3" s="1565"/>
      <c r="F3" s="1565"/>
      <c r="G3" s="1565"/>
      <c r="H3" s="1565"/>
    </row>
    <row r="4" spans="2:11" ht="22.8">
      <c r="B4" s="1565" t="s">
        <v>758</v>
      </c>
      <c r="C4" s="1565"/>
      <c r="D4" s="1565"/>
      <c r="E4" s="1565"/>
      <c r="F4" s="1565"/>
      <c r="G4" s="1565"/>
      <c r="H4" s="1565"/>
    </row>
    <row r="5" spans="2:11" ht="15.6">
      <c r="B5" s="1036"/>
      <c r="C5" s="1036"/>
      <c r="D5" s="1036"/>
      <c r="E5" s="1036"/>
      <c r="F5" s="1036"/>
      <c r="G5" s="1036"/>
      <c r="H5" s="1036"/>
    </row>
    <row r="6" spans="2:11" ht="8.25" customHeight="1" thickBot="1">
      <c r="B6" s="895"/>
      <c r="C6" s="895"/>
      <c r="D6" s="895"/>
      <c r="E6" s="895"/>
      <c r="F6" s="895"/>
      <c r="G6" s="895"/>
      <c r="H6" s="895"/>
    </row>
    <row r="7" spans="2:11" ht="32.1" customHeight="1" thickTop="1" thickBot="1">
      <c r="B7" s="1629" t="s">
        <v>211</v>
      </c>
      <c r="C7" s="1629"/>
      <c r="D7" s="1629"/>
      <c r="E7" s="1629"/>
      <c r="F7" s="1629"/>
      <c r="G7" s="1629"/>
      <c r="H7" s="1035" t="s">
        <v>756</v>
      </c>
    </row>
    <row r="8" spans="2:11" ht="21.9" customHeight="1" thickTop="1">
      <c r="B8" s="883"/>
      <c r="C8" s="882" t="s">
        <v>3546</v>
      </c>
      <c r="D8" s="883"/>
      <c r="E8" s="883"/>
      <c r="F8" s="883"/>
      <c r="G8" s="883"/>
      <c r="H8" s="884">
        <f>+'20.1-Misc Rev Not Ant'!H41</f>
        <v>193837.03</v>
      </c>
    </row>
    <row r="9" spans="2:11" ht="21.9" customHeight="1">
      <c r="B9" s="566"/>
      <c r="C9" s="567"/>
      <c r="D9" s="566"/>
      <c r="E9" s="566"/>
      <c r="F9" s="566"/>
      <c r="G9" s="566"/>
      <c r="H9" s="568"/>
      <c r="I9" s="325"/>
      <c r="J9" s="360"/>
      <c r="K9" s="325"/>
    </row>
    <row r="10" spans="2:11" ht="21.9" customHeight="1">
      <c r="B10" s="566"/>
      <c r="C10" s="567"/>
      <c r="D10" s="566"/>
      <c r="E10" s="566"/>
      <c r="F10" s="566"/>
      <c r="G10" s="566"/>
      <c r="H10" s="568"/>
      <c r="I10" s="325"/>
      <c r="J10" s="360"/>
      <c r="K10" s="325"/>
    </row>
    <row r="11" spans="2:11" ht="21.9" customHeight="1">
      <c r="B11" s="566"/>
      <c r="C11" s="567"/>
      <c r="D11" s="566"/>
      <c r="E11" s="566"/>
      <c r="F11" s="566"/>
      <c r="G11" s="566"/>
      <c r="H11" s="568"/>
      <c r="I11" s="325"/>
      <c r="J11" s="360"/>
      <c r="K11" s="325"/>
    </row>
    <row r="12" spans="2:11" ht="21.9" customHeight="1">
      <c r="B12" s="566"/>
      <c r="C12" s="567"/>
      <c r="D12" s="566"/>
      <c r="E12" s="566"/>
      <c r="F12" s="566"/>
      <c r="G12" s="566"/>
      <c r="H12" s="568"/>
      <c r="I12" s="325"/>
      <c r="J12" s="277"/>
      <c r="K12" s="325"/>
    </row>
    <row r="13" spans="2:11" ht="21.9" customHeight="1">
      <c r="B13" s="566"/>
      <c r="C13" s="567"/>
      <c r="D13" s="566"/>
      <c r="E13" s="566"/>
      <c r="F13" s="566"/>
      <c r="G13" s="566"/>
      <c r="H13" s="568"/>
      <c r="I13" s="325"/>
      <c r="J13" s="360"/>
      <c r="K13" s="325"/>
    </row>
    <row r="14" spans="2:11" ht="21.9" customHeight="1">
      <c r="B14" s="566"/>
      <c r="C14" s="567"/>
      <c r="D14" s="566"/>
      <c r="E14" s="566"/>
      <c r="F14" s="566"/>
      <c r="G14" s="566"/>
      <c r="H14" s="568"/>
      <c r="I14" s="325"/>
      <c r="J14" s="360"/>
      <c r="K14" s="325"/>
    </row>
    <row r="15" spans="2:11" ht="21.9" customHeight="1">
      <c r="B15" s="566"/>
      <c r="C15" s="567"/>
      <c r="D15" s="566"/>
      <c r="E15" s="566"/>
      <c r="F15" s="566"/>
      <c r="G15" s="566"/>
      <c r="H15" s="568"/>
      <c r="I15" s="325"/>
      <c r="J15" s="360"/>
      <c r="K15" s="325"/>
    </row>
    <row r="16" spans="2:11" ht="21.9" customHeight="1">
      <c r="B16" s="566"/>
      <c r="C16" s="567"/>
      <c r="D16" s="566"/>
      <c r="E16" s="566"/>
      <c r="F16" s="566"/>
      <c r="G16" s="566"/>
      <c r="H16" s="568"/>
      <c r="I16" s="325"/>
      <c r="J16" s="360"/>
      <c r="K16" s="325"/>
    </row>
    <row r="17" spans="2:14" ht="21.9" customHeight="1">
      <c r="B17" s="566"/>
      <c r="C17" s="566"/>
      <c r="D17" s="566"/>
      <c r="E17" s="566"/>
      <c r="F17" s="566"/>
      <c r="G17" s="566"/>
      <c r="H17" s="568"/>
      <c r="I17" s="325"/>
      <c r="J17" s="360"/>
      <c r="K17" s="325"/>
    </row>
    <row r="18" spans="2:14" ht="21.9" customHeight="1">
      <c r="B18" s="566"/>
      <c r="C18" s="566"/>
      <c r="D18" s="566"/>
      <c r="E18" s="566"/>
      <c r="F18" s="566"/>
      <c r="G18" s="566"/>
      <c r="H18" s="568"/>
      <c r="J18" s="360"/>
      <c r="K18" s="325"/>
    </row>
    <row r="19" spans="2:14" ht="21.9" customHeight="1">
      <c r="B19" s="566"/>
      <c r="C19" s="566"/>
      <c r="D19" s="566"/>
      <c r="E19" s="566"/>
      <c r="F19" s="566"/>
      <c r="G19" s="566"/>
      <c r="H19" s="568"/>
      <c r="J19" s="360"/>
      <c r="K19" s="325"/>
    </row>
    <row r="20" spans="2:14" ht="21.9" customHeight="1">
      <c r="B20" s="566"/>
      <c r="C20" s="566"/>
      <c r="D20" s="566"/>
      <c r="E20" s="566"/>
      <c r="F20" s="566"/>
      <c r="G20" s="566"/>
      <c r="H20" s="568"/>
      <c r="J20" s="277"/>
      <c r="K20" s="325"/>
    </row>
    <row r="21" spans="2:14" ht="21.9" customHeight="1">
      <c r="B21" s="566"/>
      <c r="C21" s="566"/>
      <c r="D21" s="566"/>
      <c r="E21" s="566"/>
      <c r="F21" s="566"/>
      <c r="G21" s="566"/>
      <c r="H21" s="568"/>
      <c r="J21" s="277"/>
      <c r="K21" s="325"/>
    </row>
    <row r="22" spans="2:14" ht="21.9" customHeight="1">
      <c r="B22" s="566"/>
      <c r="C22" s="566"/>
      <c r="D22" s="566"/>
      <c r="E22" s="566"/>
      <c r="F22" s="566"/>
      <c r="G22" s="566"/>
      <c r="H22" s="568"/>
      <c r="J22" s="360"/>
      <c r="K22" s="325"/>
    </row>
    <row r="23" spans="2:14" ht="21.9" customHeight="1">
      <c r="B23" s="566"/>
      <c r="C23" s="566"/>
      <c r="D23" s="566"/>
      <c r="E23" s="566"/>
      <c r="F23" s="566"/>
      <c r="G23" s="566"/>
      <c r="H23" s="568"/>
      <c r="J23" s="360"/>
      <c r="K23" s="325"/>
    </row>
    <row r="24" spans="2:14" ht="21.9" customHeight="1">
      <c r="B24" s="566"/>
      <c r="C24" s="566"/>
      <c r="D24" s="566"/>
      <c r="E24" s="566"/>
      <c r="F24" s="566"/>
      <c r="G24" s="566"/>
      <c r="H24" s="568"/>
      <c r="J24" s="360"/>
      <c r="K24" s="325"/>
    </row>
    <row r="25" spans="2:14" ht="21.9" customHeight="1">
      <c r="B25" s="566"/>
      <c r="C25" s="566"/>
      <c r="D25" s="566"/>
      <c r="E25" s="566"/>
      <c r="F25" s="566"/>
      <c r="G25" s="566"/>
      <c r="H25" s="568"/>
      <c r="J25" s="360"/>
      <c r="K25" s="325"/>
    </row>
    <row r="26" spans="2:14" ht="21.9" customHeight="1">
      <c r="B26" s="566"/>
      <c r="C26" s="566"/>
      <c r="D26" s="566"/>
      <c r="E26" s="566"/>
      <c r="F26" s="566"/>
      <c r="G26" s="566"/>
      <c r="H26" s="568"/>
      <c r="J26" s="360"/>
      <c r="K26" s="325"/>
    </row>
    <row r="27" spans="2:14" ht="21.9" customHeight="1">
      <c r="B27" s="566"/>
      <c r="C27" s="566"/>
      <c r="D27" s="566"/>
      <c r="E27" s="566"/>
      <c r="F27" s="566"/>
      <c r="G27" s="566"/>
      <c r="H27" s="568"/>
      <c r="J27" s="277"/>
      <c r="K27" s="325"/>
    </row>
    <row r="28" spans="2:14" ht="21.9" customHeight="1">
      <c r="B28" s="566"/>
      <c r="C28" s="566"/>
      <c r="D28" s="566"/>
      <c r="E28" s="566"/>
      <c r="F28" s="566"/>
      <c r="G28" s="566"/>
      <c r="H28" s="568"/>
      <c r="J28" s="277"/>
      <c r="K28" s="325"/>
    </row>
    <row r="29" spans="2:14" ht="21.9" customHeight="1">
      <c r="B29" s="566"/>
      <c r="C29" s="566"/>
      <c r="D29" s="566"/>
      <c r="E29" s="566"/>
      <c r="F29" s="566"/>
      <c r="G29" s="566"/>
      <c r="H29" s="568"/>
      <c r="J29" s="360"/>
      <c r="K29" s="325"/>
    </row>
    <row r="30" spans="2:14" ht="21.9" customHeight="1">
      <c r="B30" s="566"/>
      <c r="C30" s="566"/>
      <c r="D30" s="566"/>
      <c r="E30" s="566"/>
      <c r="F30" s="566"/>
      <c r="G30" s="566"/>
      <c r="H30" s="568"/>
      <c r="J30" s="277"/>
      <c r="K30" s="325"/>
    </row>
    <row r="31" spans="2:14" ht="21.9" customHeight="1">
      <c r="B31" s="566"/>
      <c r="C31" s="566"/>
      <c r="D31" s="566"/>
      <c r="E31" s="566"/>
      <c r="F31" s="566"/>
      <c r="G31" s="566"/>
      <c r="H31" s="568"/>
      <c r="J31" s="360"/>
      <c r="K31" s="325"/>
    </row>
    <row r="32" spans="2:14" ht="21.9" customHeight="1">
      <c r="B32" s="566"/>
      <c r="C32" s="566"/>
      <c r="D32" s="566"/>
      <c r="E32" s="566"/>
      <c r="F32" s="566"/>
      <c r="G32" s="566"/>
      <c r="H32" s="568"/>
      <c r="K32" s="325"/>
      <c r="M32" s="322"/>
      <c r="N32" s="325"/>
    </row>
    <row r="33" spans="2:11" ht="21.9" customHeight="1">
      <c r="B33" s="566"/>
      <c r="C33" s="566"/>
      <c r="D33" s="566"/>
      <c r="E33" s="566"/>
      <c r="F33" s="566"/>
      <c r="G33" s="566"/>
      <c r="H33" s="568"/>
      <c r="J33" s="338"/>
      <c r="K33" s="325"/>
    </row>
    <row r="34" spans="2:11" ht="21.9" customHeight="1">
      <c r="B34" s="566"/>
      <c r="C34" s="566"/>
      <c r="D34" s="566"/>
      <c r="E34" s="566"/>
      <c r="F34" s="566"/>
      <c r="G34" s="566"/>
      <c r="H34" s="568"/>
      <c r="J34" s="338"/>
      <c r="K34" s="325"/>
    </row>
    <row r="35" spans="2:11" ht="21.9" customHeight="1">
      <c r="B35" s="566"/>
      <c r="C35" s="566"/>
      <c r="D35" s="566"/>
      <c r="E35" s="566"/>
      <c r="F35" s="566"/>
      <c r="G35" s="566"/>
      <c r="H35" s="568"/>
      <c r="J35" s="338"/>
      <c r="K35" s="325"/>
    </row>
    <row r="36" spans="2:11" ht="21.9" customHeight="1">
      <c r="B36" s="566"/>
      <c r="C36" s="566"/>
      <c r="D36" s="566"/>
      <c r="E36" s="566"/>
      <c r="F36" s="566"/>
      <c r="G36" s="566"/>
      <c r="H36" s="568"/>
      <c r="J36" s="338"/>
      <c r="K36" s="325"/>
    </row>
    <row r="37" spans="2:11" ht="21.9" customHeight="1">
      <c r="B37" s="566"/>
      <c r="C37" s="566"/>
      <c r="D37" s="566"/>
      <c r="E37" s="566"/>
      <c r="F37" s="566"/>
      <c r="G37" s="566"/>
      <c r="H37" s="568"/>
      <c r="K37" s="325"/>
    </row>
    <row r="38" spans="2:11" ht="21.9" customHeight="1">
      <c r="B38" s="566"/>
      <c r="C38" s="566"/>
      <c r="D38" s="566"/>
      <c r="E38" s="566"/>
      <c r="F38" s="566"/>
      <c r="G38" s="566"/>
      <c r="H38" s="568"/>
      <c r="K38" s="325"/>
    </row>
    <row r="39" spans="2:11" ht="21.9" customHeight="1">
      <c r="B39" s="566"/>
      <c r="C39" s="566"/>
      <c r="D39" s="566"/>
      <c r="E39" s="566"/>
      <c r="F39" s="566"/>
      <c r="G39" s="566"/>
      <c r="H39" s="568"/>
      <c r="K39" s="325"/>
    </row>
    <row r="40" spans="2:11" ht="21.9" customHeight="1" thickBot="1">
      <c r="B40" s="566"/>
      <c r="C40" s="566"/>
      <c r="D40" s="566"/>
      <c r="E40" s="566"/>
      <c r="F40" s="566"/>
      <c r="G40" s="566"/>
      <c r="H40" s="588"/>
    </row>
    <row r="41" spans="2:11" ht="21.9" customHeight="1" thickBot="1">
      <c r="B41" s="82" t="s">
        <v>328</v>
      </c>
      <c r="C41" s="323"/>
      <c r="D41" s="323"/>
      <c r="E41" s="323"/>
      <c r="F41" s="323"/>
      <c r="G41" s="323"/>
      <c r="H41" s="238">
        <f>SUM(H8:H40)</f>
        <v>193837.03</v>
      </c>
      <c r="J41" s="325"/>
    </row>
    <row r="42" spans="2:11" ht="13.8" thickTop="1"/>
    <row r="43" spans="2:11">
      <c r="I43" s="325"/>
    </row>
    <row r="44" spans="2:11">
      <c r="I44" s="325"/>
    </row>
    <row r="45" spans="2:11">
      <c r="I45" s="325"/>
    </row>
    <row r="46" spans="2:11">
      <c r="I46" s="325"/>
    </row>
    <row r="47" spans="2:11" ht="13.8">
      <c r="B47" s="1507" t="s">
        <v>3620</v>
      </c>
      <c r="C47" s="1507"/>
      <c r="D47" s="1507"/>
      <c r="E47" s="1507"/>
      <c r="F47" s="1507"/>
      <c r="G47" s="1507"/>
      <c r="H47" s="1507"/>
    </row>
    <row r="48" spans="2:11">
      <c r="I48" s="325"/>
    </row>
    <row r="54" spans="8:8">
      <c r="H54" s="325"/>
    </row>
    <row r="55" spans="8:8">
      <c r="H55" s="32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4">
    <mergeCell ref="B3:H3"/>
    <mergeCell ref="B4:H4"/>
    <mergeCell ref="B7:G7"/>
    <mergeCell ref="B47:H47"/>
  </mergeCells>
  <conditionalFormatting sqref="J9:J18 J20:J31">
    <cfRule type="cellIs" dxfId="1" priority="2" stopIfTrue="1" operator="equal">
      <formula>0</formula>
    </cfRule>
  </conditionalFormatting>
  <conditionalFormatting sqref="J19">
    <cfRule type="cellIs" dxfId="0" priority="1" stopIfTrue="1" operator="equal">
      <formula>0</formula>
    </cfRule>
  </conditionalFormatting>
  <pageMargins left="0.25" right="0.25" top="0.5" bottom="0.5" header="0.25" footer="0.25"/>
  <pageSetup paperSize="5" orientation="portrait" r:id="rId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K57"/>
  <sheetViews>
    <sheetView topLeftCell="A31" zoomScaleNormal="100" zoomScaleSheetLayoutView="80" workbookViewId="0">
      <selection activeCell="B3" sqref="B3:O3"/>
    </sheetView>
  </sheetViews>
  <sheetFormatPr defaultColWidth="9.109375" defaultRowHeight="13.2"/>
  <cols>
    <col min="1" max="1" width="4.6640625" style="322" customWidth="1"/>
    <col min="2" max="2" width="4.88671875" style="322" customWidth="1"/>
    <col min="3" max="4" width="4.6640625" style="322" customWidth="1"/>
    <col min="5" max="5" width="30.6640625" style="322" customWidth="1"/>
    <col min="6" max="6" width="15.6640625" style="322" customWidth="1"/>
    <col min="7" max="8" width="16.6640625" style="277" customWidth="1"/>
    <col min="9" max="9" width="3.6640625" style="322" bestFit="1" customWidth="1"/>
    <col min="10" max="10" width="13.5546875" style="322" bestFit="1" customWidth="1"/>
    <col min="11" max="11" width="11.109375" style="322" bestFit="1" customWidth="1"/>
    <col min="12" max="16384" width="9.109375" style="322"/>
  </cols>
  <sheetData>
    <row r="2" spans="2:11">
      <c r="B2" s="1555" t="s">
        <v>129</v>
      </c>
      <c r="C2" s="1555"/>
      <c r="D2" s="1555"/>
      <c r="E2" s="1555"/>
      <c r="F2" s="1555"/>
      <c r="G2" s="1555"/>
      <c r="H2" s="1555"/>
    </row>
    <row r="4" spans="2:11" ht="22.8">
      <c r="B4" s="1549" t="s">
        <v>543</v>
      </c>
      <c r="C4" s="1549"/>
      <c r="D4" s="1549"/>
      <c r="E4" s="1549"/>
      <c r="F4" s="1549"/>
      <c r="G4" s="1549"/>
      <c r="H4" s="1549"/>
    </row>
    <row r="5" spans="2:11" ht="22.8">
      <c r="B5" s="1549" t="s">
        <v>571</v>
      </c>
      <c r="C5" s="1549"/>
      <c r="D5" s="1549"/>
      <c r="E5" s="1549"/>
      <c r="F5" s="1549"/>
      <c r="G5" s="1549"/>
      <c r="H5" s="1549"/>
    </row>
    <row r="6" spans="2:11" ht="15.6">
      <c r="B6" s="1556" t="str">
        <f>'KEY INPUTS'!D44</f>
        <v>AS  AT  DECEMBER  31, 2019</v>
      </c>
      <c r="C6" s="1509"/>
      <c r="D6" s="1509"/>
      <c r="E6" s="1509"/>
      <c r="F6" s="1509"/>
      <c r="G6" s="1509"/>
      <c r="H6" s="1509"/>
    </row>
    <row r="8" spans="2:11" ht="15" customHeight="1" thickBot="1">
      <c r="B8" s="1557" t="s">
        <v>123</v>
      </c>
      <c r="C8" s="1557"/>
      <c r="D8" s="1557"/>
      <c r="E8" s="1557"/>
      <c r="F8" s="1557"/>
      <c r="G8" s="1557"/>
      <c r="H8" s="1557"/>
    </row>
    <row r="9" spans="2:11" ht="36" customHeight="1" thickTop="1" thickBot="1">
      <c r="B9" s="1553" t="s">
        <v>124</v>
      </c>
      <c r="C9" s="1553"/>
      <c r="D9" s="1553"/>
      <c r="E9" s="1553"/>
      <c r="F9" s="1554"/>
      <c r="G9" s="259" t="s">
        <v>125</v>
      </c>
      <c r="H9" s="260" t="s">
        <v>126</v>
      </c>
    </row>
    <row r="10" spans="2:11" ht="21" customHeight="1" thickTop="1">
      <c r="B10" s="192" t="s">
        <v>3788</v>
      </c>
      <c r="C10" s="777"/>
      <c r="D10" s="777"/>
      <c r="E10" s="777"/>
      <c r="F10" s="1482"/>
      <c r="G10" s="778">
        <f>'3a-Trial Bal-Current Fund'!G44</f>
        <v>6656524.979999993</v>
      </c>
      <c r="H10" s="833">
        <f>'3a-Trial Bal-Current Fund'!H44</f>
        <v>2020903.3499999989</v>
      </c>
    </row>
    <row r="11" spans="2:11" ht="21" customHeight="1">
      <c r="B11" s="832"/>
      <c r="C11" s="1479"/>
      <c r="D11" s="1480"/>
      <c r="E11" s="1480"/>
      <c r="F11" s="1481"/>
      <c r="G11" s="372"/>
      <c r="H11" s="589"/>
      <c r="J11" s="385"/>
    </row>
    <row r="12" spans="2:11" ht="21" customHeight="1">
      <c r="B12" s="567"/>
      <c r="C12" s="1479"/>
      <c r="D12" s="1480"/>
      <c r="E12" s="1480"/>
      <c r="F12" s="1481"/>
      <c r="G12" s="372"/>
      <c r="H12" s="589"/>
      <c r="I12" s="118"/>
      <c r="J12" s="325"/>
      <c r="K12" s="325"/>
    </row>
    <row r="13" spans="2:11" ht="21" customHeight="1">
      <c r="B13" s="567"/>
      <c r="C13" s="1479"/>
      <c r="D13" s="1480"/>
      <c r="E13" s="1480"/>
      <c r="F13" s="1481"/>
      <c r="G13" s="372"/>
      <c r="H13" s="589"/>
      <c r="I13" s="118"/>
      <c r="J13" s="325"/>
      <c r="K13" s="325"/>
    </row>
    <row r="14" spans="2:11" ht="21" customHeight="1">
      <c r="B14" s="567"/>
      <c r="C14" s="1479"/>
      <c r="D14" s="1480"/>
      <c r="E14" s="1480"/>
      <c r="F14" s="1481"/>
      <c r="G14" s="372"/>
      <c r="H14" s="589"/>
      <c r="I14" s="118"/>
      <c r="J14" s="325"/>
      <c r="K14" s="325"/>
    </row>
    <row r="15" spans="2:11" ht="21" customHeight="1">
      <c r="B15" s="567"/>
      <c r="C15" s="1479"/>
      <c r="D15" s="1480"/>
      <c r="E15" s="1480"/>
      <c r="F15" s="1481"/>
      <c r="G15" s="372"/>
      <c r="H15" s="589"/>
      <c r="I15" s="118"/>
      <c r="J15" s="325"/>
      <c r="K15" s="325"/>
    </row>
    <row r="16" spans="2:11" ht="21" customHeight="1">
      <c r="B16" s="567"/>
      <c r="C16" s="1479"/>
      <c r="D16" s="1480"/>
      <c r="E16" s="1480"/>
      <c r="F16" s="1481"/>
      <c r="G16" s="372"/>
      <c r="H16" s="589"/>
      <c r="I16" s="118"/>
      <c r="J16" s="325"/>
      <c r="K16" s="325"/>
    </row>
    <row r="17" spans="2:11" ht="21" customHeight="1">
      <c r="B17" s="567"/>
      <c r="C17" s="1479"/>
      <c r="D17" s="1480"/>
      <c r="E17" s="1480"/>
      <c r="F17" s="1481"/>
      <c r="G17" s="372"/>
      <c r="H17" s="589"/>
      <c r="I17" s="118"/>
      <c r="J17" s="325"/>
      <c r="K17" s="325"/>
    </row>
    <row r="18" spans="2:11" ht="21" customHeight="1">
      <c r="B18" s="567"/>
      <c r="C18" s="1479"/>
      <c r="D18" s="1480"/>
      <c r="E18" s="1480"/>
      <c r="F18" s="1481"/>
      <c r="G18" s="372"/>
      <c r="H18" s="589"/>
      <c r="I18" s="118"/>
      <c r="J18" s="325"/>
    </row>
    <row r="19" spans="2:11" ht="21" customHeight="1">
      <c r="B19" s="567"/>
      <c r="C19" s="1479"/>
      <c r="D19" s="1480"/>
      <c r="E19" s="1480"/>
      <c r="F19" s="1481"/>
      <c r="G19" s="372"/>
      <c r="H19" s="589"/>
      <c r="I19" s="118"/>
      <c r="J19" s="325"/>
    </row>
    <row r="20" spans="2:11" ht="21" customHeight="1">
      <c r="B20" s="567"/>
      <c r="C20" s="1479"/>
      <c r="D20" s="1480"/>
      <c r="E20" s="1480"/>
      <c r="F20" s="1481"/>
      <c r="G20" s="372"/>
      <c r="H20" s="589"/>
      <c r="I20" s="118"/>
      <c r="J20" s="325"/>
      <c r="K20" s="325"/>
    </row>
    <row r="21" spans="2:11" ht="21" customHeight="1">
      <c r="B21" s="567"/>
      <c r="C21" s="1479"/>
      <c r="D21" s="1480"/>
      <c r="E21" s="1480"/>
      <c r="F21" s="1481"/>
      <c r="G21" s="372"/>
      <c r="H21" s="589"/>
      <c r="I21" s="118"/>
      <c r="J21" s="325"/>
      <c r="K21" s="325"/>
    </row>
    <row r="22" spans="2:11" ht="21" customHeight="1">
      <c r="B22" s="567"/>
      <c r="C22" s="1479"/>
      <c r="D22" s="1480"/>
      <c r="E22" s="1480"/>
      <c r="F22" s="1481"/>
      <c r="G22" s="372"/>
      <c r="H22" s="589"/>
      <c r="I22" s="118"/>
    </row>
    <row r="23" spans="2:11" ht="21" customHeight="1">
      <c r="B23" s="567"/>
      <c r="C23" s="1479"/>
      <c r="D23" s="1480"/>
      <c r="E23" s="1480"/>
      <c r="F23" s="1481"/>
      <c r="G23" s="372"/>
      <c r="H23" s="589"/>
      <c r="I23" s="118"/>
      <c r="J23" s="325"/>
    </row>
    <row r="24" spans="2:11" ht="21" customHeight="1" thickBot="1">
      <c r="B24" s="567"/>
      <c r="C24" s="1479"/>
      <c r="D24" s="1480"/>
      <c r="E24" s="1480"/>
      <c r="F24" s="1481"/>
      <c r="G24" s="586"/>
      <c r="H24" s="1487"/>
      <c r="I24" s="118"/>
      <c r="J24" s="325"/>
    </row>
    <row r="25" spans="2:11" ht="21" customHeight="1">
      <c r="B25" s="843"/>
      <c r="C25" s="1252"/>
      <c r="D25" s="1253"/>
      <c r="E25" s="1253"/>
      <c r="F25" s="640" t="s">
        <v>463</v>
      </c>
      <c r="G25" s="1488">
        <f>SUM(G10:G24)</f>
        <v>6656524.979999993</v>
      </c>
      <c r="H25" s="1485">
        <f>SUM(H10:H24)</f>
        <v>2020903.3499999989</v>
      </c>
      <c r="I25" s="118" t="s">
        <v>997</v>
      </c>
      <c r="J25" s="325"/>
      <c r="K25" s="325"/>
    </row>
    <row r="26" spans="2:11" ht="21" customHeight="1">
      <c r="B26" s="567"/>
      <c r="C26" s="1479"/>
      <c r="D26" s="1480"/>
      <c r="E26" s="1480"/>
      <c r="F26" s="1481"/>
      <c r="G26" s="372"/>
      <c r="H26" s="589"/>
      <c r="I26" s="118"/>
      <c r="J26" s="325"/>
    </row>
    <row r="27" spans="2:11" ht="21" customHeight="1">
      <c r="B27" s="567"/>
      <c r="C27" s="1479"/>
      <c r="D27" s="1480"/>
      <c r="E27" s="1480"/>
      <c r="F27" s="1481"/>
      <c r="G27" s="372"/>
      <c r="H27" s="589"/>
      <c r="I27" s="118"/>
      <c r="J27" s="325"/>
      <c r="K27" s="325"/>
    </row>
    <row r="28" spans="2:11" ht="21" customHeight="1">
      <c r="B28" s="567"/>
      <c r="C28" s="1479"/>
      <c r="D28" s="1480"/>
      <c r="E28" s="1480"/>
      <c r="F28" s="1481"/>
      <c r="G28" s="372"/>
      <c r="H28" s="589"/>
      <c r="I28" s="118"/>
      <c r="J28" s="325"/>
      <c r="K28" s="325"/>
    </row>
    <row r="29" spans="2:11" ht="21" customHeight="1">
      <c r="B29" s="1558"/>
      <c r="C29" s="1558"/>
      <c r="D29" s="1558"/>
      <c r="E29" s="1558"/>
      <c r="F29" s="1559"/>
      <c r="G29" s="372"/>
      <c r="H29" s="589"/>
      <c r="I29" s="118"/>
      <c r="J29" s="325"/>
      <c r="K29" s="325"/>
    </row>
    <row r="30" spans="2:11" ht="21" customHeight="1">
      <c r="B30" s="1558"/>
      <c r="C30" s="1558"/>
      <c r="D30" s="1558"/>
      <c r="E30" s="1558"/>
      <c r="F30" s="1559"/>
      <c r="G30" s="372"/>
      <c r="H30" s="589"/>
      <c r="I30" s="118"/>
    </row>
    <row r="31" spans="2:11" ht="21" customHeight="1">
      <c r="B31" s="1558"/>
      <c r="C31" s="1558"/>
      <c r="D31" s="1558"/>
      <c r="E31" s="1558"/>
      <c r="F31" s="1559"/>
      <c r="G31" s="372"/>
      <c r="H31" s="589"/>
      <c r="I31" s="118"/>
      <c r="J31" s="325"/>
      <c r="K31" s="325"/>
    </row>
    <row r="32" spans="2:11" ht="21" customHeight="1">
      <c r="B32" s="1558"/>
      <c r="C32" s="1558"/>
      <c r="D32" s="1558"/>
      <c r="E32" s="1558"/>
      <c r="F32" s="1559"/>
      <c r="G32" s="372"/>
      <c r="H32" s="589"/>
      <c r="I32" s="118"/>
      <c r="J32" s="325"/>
      <c r="K32" s="325"/>
    </row>
    <row r="33" spans="2:11" ht="21" customHeight="1">
      <c r="B33" s="1558"/>
      <c r="C33" s="1558"/>
      <c r="D33" s="1558"/>
      <c r="E33" s="1558"/>
      <c r="F33" s="1559"/>
      <c r="G33" s="372"/>
      <c r="H33" s="589"/>
      <c r="I33" s="118"/>
      <c r="J33" s="325"/>
      <c r="K33" s="325"/>
    </row>
    <row r="34" spans="2:11" ht="21" customHeight="1">
      <c r="B34" s="1558"/>
      <c r="C34" s="1558"/>
      <c r="D34" s="1558"/>
      <c r="E34" s="1558"/>
      <c r="F34" s="1559"/>
      <c r="G34" s="372"/>
      <c r="H34" s="589"/>
      <c r="I34" s="118"/>
      <c r="J34" s="325"/>
      <c r="K34" s="325"/>
    </row>
    <row r="35" spans="2:11" ht="21" customHeight="1">
      <c r="B35" s="1558"/>
      <c r="C35" s="1558"/>
      <c r="D35" s="1558"/>
      <c r="E35" s="1558"/>
      <c r="F35" s="1559"/>
      <c r="G35" s="372"/>
      <c r="H35" s="661"/>
      <c r="I35" s="118"/>
      <c r="J35" s="325"/>
      <c r="K35" s="325"/>
    </row>
    <row r="36" spans="2:11" ht="21" customHeight="1">
      <c r="B36" s="1558"/>
      <c r="C36" s="1558"/>
      <c r="D36" s="1558"/>
      <c r="E36" s="1558"/>
      <c r="F36" s="1559"/>
      <c r="G36" s="372"/>
      <c r="H36" s="568"/>
      <c r="I36" s="118"/>
    </row>
    <row r="37" spans="2:11" ht="21" customHeight="1">
      <c r="B37" s="323"/>
      <c r="C37" s="323"/>
      <c r="D37" s="323"/>
      <c r="E37" s="323"/>
      <c r="F37" s="323"/>
      <c r="G37" s="337"/>
      <c r="H37" s="268"/>
      <c r="I37" s="118"/>
      <c r="J37" s="710"/>
    </row>
    <row r="38" spans="2:11" ht="21" customHeight="1">
      <c r="B38" s="323"/>
      <c r="C38" s="323"/>
      <c r="D38" s="323"/>
      <c r="E38" s="323"/>
      <c r="F38" s="323"/>
      <c r="G38" s="337"/>
      <c r="H38" s="311"/>
      <c r="I38" s="118"/>
    </row>
    <row r="39" spans="2:11" ht="21" customHeight="1">
      <c r="B39" s="323"/>
      <c r="C39" s="323" t="s">
        <v>998</v>
      </c>
      <c r="D39" s="323"/>
      <c r="E39" s="323"/>
      <c r="F39" s="323"/>
      <c r="G39" s="721"/>
      <c r="H39" s="311">
        <f>SUM('3-Trial Bal-Current Fund'!G17:G35)</f>
        <v>278948.19999999495</v>
      </c>
      <c r="I39" s="118"/>
      <c r="J39" s="325"/>
      <c r="K39" s="325"/>
    </row>
    <row r="40" spans="2:11" ht="21" customHeight="1">
      <c r="B40" s="323"/>
      <c r="C40" s="323" t="s">
        <v>149</v>
      </c>
      <c r="D40" s="323"/>
      <c r="E40" s="323"/>
      <c r="F40" s="323"/>
      <c r="G40" s="337">
        <f>+'13-Other Taxes'!G18+'14-Other Taxes'!G40+'14-Other Taxes'!G19</f>
        <v>0</v>
      </c>
      <c r="H40" s="913"/>
      <c r="I40" s="118"/>
      <c r="J40" s="325"/>
      <c r="K40" s="325"/>
    </row>
    <row r="41" spans="2:11" ht="21" customHeight="1">
      <c r="B41" s="323"/>
      <c r="C41" s="323" t="s">
        <v>150</v>
      </c>
      <c r="D41" s="323"/>
      <c r="E41" s="323"/>
      <c r="F41" s="323"/>
      <c r="G41" s="906"/>
      <c r="H41" s="311">
        <f>+G40</f>
        <v>0</v>
      </c>
      <c r="I41" s="118"/>
      <c r="J41" s="325"/>
      <c r="K41" s="325"/>
    </row>
    <row r="42" spans="2:11" ht="21" customHeight="1">
      <c r="B42" s="323"/>
      <c r="C42" s="323" t="s">
        <v>999</v>
      </c>
      <c r="D42" s="323"/>
      <c r="E42" s="323"/>
      <c r="F42" s="323"/>
      <c r="G42" s="721"/>
      <c r="H42" s="311">
        <f>+'21-Current Fund Surplus'!K14</f>
        <v>4356673.4300000044</v>
      </c>
      <c r="I42" s="118"/>
      <c r="J42" s="325"/>
      <c r="K42" s="325"/>
    </row>
    <row r="43" spans="2:11" ht="21" customHeight="1" thickBot="1">
      <c r="B43" s="323"/>
      <c r="C43" s="323"/>
      <c r="D43" s="323"/>
      <c r="E43" s="323"/>
      <c r="F43" s="323"/>
      <c r="G43" s="314"/>
      <c r="H43" s="269"/>
      <c r="I43" s="118"/>
    </row>
    <row r="44" spans="2:11" ht="21" customHeight="1" thickBot="1">
      <c r="B44" s="323"/>
      <c r="C44" s="323"/>
      <c r="D44" s="323"/>
      <c r="E44" s="323"/>
      <c r="F44" s="323" t="s">
        <v>1000</v>
      </c>
      <c r="G44" s="362">
        <f>SUM(G25:G43)</f>
        <v>6656524.979999993</v>
      </c>
      <c r="H44" s="270">
        <f>SUM(H25:H42)</f>
        <v>6656524.9799999986</v>
      </c>
      <c r="I44" s="118"/>
      <c r="J44" s="325"/>
    </row>
    <row r="45" spans="2:11" ht="21" customHeight="1" thickTop="1">
      <c r="B45" s="323"/>
      <c r="C45" s="323"/>
      <c r="D45" s="323"/>
      <c r="E45" s="323"/>
      <c r="F45" s="323"/>
      <c r="G45" s="309"/>
      <c r="H45" s="268"/>
    </row>
    <row r="46" spans="2:11" ht="21" customHeight="1">
      <c r="B46" s="323"/>
      <c r="C46" s="323"/>
      <c r="D46" s="323"/>
      <c r="E46" s="323"/>
      <c r="F46" s="323"/>
      <c r="G46" s="337"/>
      <c r="H46" s="311"/>
    </row>
    <row r="47" spans="2:11">
      <c r="B47" s="1511" t="s">
        <v>127</v>
      </c>
      <c r="C47" s="1511"/>
      <c r="D47" s="1511"/>
      <c r="E47" s="1511"/>
      <c r="F47" s="1511"/>
      <c r="G47" s="1511"/>
      <c r="H47" s="1511"/>
    </row>
    <row r="48" spans="2:11" ht="13.8">
      <c r="B48" s="1507" t="s">
        <v>3787</v>
      </c>
      <c r="C48" s="1507"/>
      <c r="D48" s="1507"/>
      <c r="E48" s="1507"/>
      <c r="F48" s="1507"/>
      <c r="G48" s="1507"/>
      <c r="H48" s="1507"/>
    </row>
    <row r="49" spans="7:8">
      <c r="H49" s="327"/>
    </row>
    <row r="50" spans="7:8">
      <c r="G50" s="327"/>
      <c r="H50" s="327"/>
    </row>
    <row r="51" spans="7:8">
      <c r="H51" s="327"/>
    </row>
    <row r="52" spans="7:8">
      <c r="G52" s="327"/>
      <c r="H52" s="327"/>
    </row>
    <row r="53" spans="7:8">
      <c r="G53" s="327"/>
      <c r="H53" s="327"/>
    </row>
    <row r="54" spans="7:8">
      <c r="H54" s="327"/>
    </row>
    <row r="55" spans="7:8">
      <c r="G55" s="327"/>
    </row>
    <row r="57" spans="7:8">
      <c r="H57" s="327"/>
    </row>
  </sheetData>
  <sheetProtection password="CAF9" sheet="1" objects="1" scenarios="1"/>
  <customSheetViews>
    <customSheetView guid="{AC653BD0-46E3-42CB-9C76-32121A57B65A}" topLeftCell="A16">
      <selection activeCell="A33" sqref="A33:XFD33"/>
      <pageMargins left="0.25" right="0.25" top="0.5" bottom="0.5" header="0.25" footer="0.25"/>
      <pageSetup paperSize="5" scale="99" orientation="portrait" r:id="rId1"/>
      <headerFooter alignWithMargins="0"/>
    </customSheetView>
    <customSheetView guid="{B165479B-DC25-403C-9595-F1A88A4AA9A2}">
      <selection activeCell="H42" sqref="H42"/>
      <pageMargins left="0.25" right="0.25" top="0.5" bottom="0.5" header="0.25" footer="0.25"/>
      <pageSetup paperSize="5" scale="99" orientation="portrait" r:id="rId2"/>
      <headerFooter alignWithMargins="0"/>
    </customSheetView>
    <customSheetView guid="{A64E4C9E-A3DA-4AAA-8607-F524450B9436}" topLeftCell="A31">
      <selection activeCell="H42" sqref="H42"/>
      <pageMargins left="0.25" right="0.25" top="0.5" bottom="0.5" header="0.25" footer="0.25"/>
      <pageSetup paperSize="5" scale="99" orientation="portrait" r:id="rId3"/>
      <headerFooter alignWithMargins="0"/>
    </customSheetView>
    <customSheetView guid="{AB4FBD91-4533-473A-9702-569FF6402073}" topLeftCell="A31">
      <selection activeCell="J44" sqref="J44"/>
      <pageMargins left="0.25" right="0.25" top="0.5" bottom="0.5" header="0.25" footer="0.25"/>
      <pageSetup paperSize="5" scale="99" orientation="portrait" r:id="rId4"/>
      <headerFooter alignWithMargins="0"/>
    </customSheetView>
  </customSheetViews>
  <mergeCells count="16">
    <mergeCell ref="B9:F9"/>
    <mergeCell ref="B2:H2"/>
    <mergeCell ref="B4:H4"/>
    <mergeCell ref="B5:H5"/>
    <mergeCell ref="B6:H6"/>
    <mergeCell ref="B8:H8"/>
    <mergeCell ref="B35:F35"/>
    <mergeCell ref="B36:F36"/>
    <mergeCell ref="B47:H47"/>
    <mergeCell ref="B48:H48"/>
    <mergeCell ref="B29:F29"/>
    <mergeCell ref="B30:F30"/>
    <mergeCell ref="B31:F31"/>
    <mergeCell ref="B32:F32"/>
    <mergeCell ref="B33:F33"/>
    <mergeCell ref="B34:F34"/>
  </mergeCells>
  <pageMargins left="0.25" right="0.25" top="0.5" bottom="0.5" header="0.25" footer="0.25"/>
  <pageSetup paperSize="5" scale="76" orientation="portrait" r:id="rId5"/>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pageSetUpPr fitToPage="1"/>
  </sheetPr>
  <dimension ref="B3:N52"/>
  <sheetViews>
    <sheetView zoomScaleNormal="100" workbookViewId="0">
      <selection activeCell="B3" sqref="B3:O3"/>
    </sheetView>
  </sheetViews>
  <sheetFormatPr defaultRowHeight="13.2"/>
  <cols>
    <col min="1" max="5" width="4.6640625" customWidth="1"/>
    <col min="9" max="9" width="6.33203125" customWidth="1"/>
    <col min="11" max="12" width="16.6640625" customWidth="1"/>
    <col min="13" max="13" width="13.5546875" bestFit="1" customWidth="1"/>
    <col min="14" max="14" width="10.88671875" bestFit="1" customWidth="1"/>
  </cols>
  <sheetData>
    <row r="3" spans="2:13" ht="22.8">
      <c r="B3" s="1549" t="s">
        <v>383</v>
      </c>
      <c r="C3" s="1549"/>
      <c r="D3" s="1549"/>
      <c r="E3" s="1549"/>
      <c r="F3" s="1549"/>
      <c r="G3" s="1549"/>
      <c r="H3" s="1549"/>
      <c r="I3" s="1549"/>
      <c r="J3" s="1549"/>
      <c r="K3" s="1549"/>
      <c r="L3" s="1549"/>
    </row>
    <row r="4" spans="2:13" ht="22.8">
      <c r="B4" s="1631" t="str">
        <f>'KEY INPUTS'!D49</f>
        <v>YEAR  - 2019</v>
      </c>
      <c r="C4" s="1549"/>
      <c r="D4" s="1549"/>
      <c r="E4" s="1549"/>
      <c r="F4" s="1549"/>
      <c r="G4" s="1549"/>
      <c r="H4" s="1549"/>
      <c r="I4" s="1549"/>
      <c r="J4" s="1549"/>
      <c r="K4" s="1549"/>
      <c r="L4" s="1549"/>
    </row>
    <row r="5" spans="2:13" ht="13.8" thickBot="1"/>
    <row r="6" spans="2:13" ht="32.1" customHeight="1" thickTop="1" thickBot="1">
      <c r="B6" s="61"/>
      <c r="C6" s="61"/>
      <c r="D6" s="61"/>
      <c r="E6" s="61"/>
      <c r="F6" s="61"/>
      <c r="G6" s="61"/>
      <c r="H6" s="61"/>
      <c r="I6" s="61"/>
      <c r="J6" s="61"/>
      <c r="K6" s="4" t="s">
        <v>125</v>
      </c>
      <c r="L6" s="3" t="s">
        <v>126</v>
      </c>
    </row>
    <row r="7" spans="2:13" ht="21" customHeight="1" thickTop="1">
      <c r="B7" s="86" t="s">
        <v>384</v>
      </c>
      <c r="C7" s="22" t="str">
        <f>'KEY INPUTS'!D25</f>
        <v>Balance - January 1, 2019</v>
      </c>
      <c r="D7" s="22"/>
      <c r="E7" s="22"/>
      <c r="F7" s="22"/>
      <c r="G7" s="22"/>
      <c r="H7" s="22"/>
      <c r="I7" s="22"/>
      <c r="J7" s="22" t="s">
        <v>1067</v>
      </c>
      <c r="K7" s="51" t="s">
        <v>787</v>
      </c>
      <c r="L7" s="590">
        <v>4165908.96</v>
      </c>
      <c r="M7" s="742"/>
    </row>
    <row r="8" spans="2:13" ht="21" customHeight="1">
      <c r="B8" s="87" t="s">
        <v>385</v>
      </c>
      <c r="C8" s="566"/>
      <c r="D8" s="566"/>
      <c r="E8" s="566"/>
      <c r="F8" s="566"/>
      <c r="G8" s="566"/>
      <c r="H8" s="5"/>
      <c r="I8" s="5"/>
      <c r="J8" s="5"/>
      <c r="K8" s="46" t="s">
        <v>787</v>
      </c>
      <c r="L8" s="589"/>
    </row>
    <row r="9" spans="2:13" ht="21" customHeight="1">
      <c r="B9" s="87" t="s">
        <v>386</v>
      </c>
      <c r="C9" s="281" t="str">
        <f>"Excess Resulting from "&amp;TEXT('KEY INPUTS'!D34,"0")&amp;" Operations"</f>
        <v>Excess Resulting from 2019 Operations</v>
      </c>
      <c r="D9" s="5"/>
      <c r="E9" s="5"/>
      <c r="F9" s="5"/>
      <c r="G9" s="5"/>
      <c r="H9" s="5"/>
      <c r="I9" s="5"/>
      <c r="J9" s="5" t="s">
        <v>1068</v>
      </c>
      <c r="K9" s="46" t="s">
        <v>787</v>
      </c>
      <c r="L9" s="214">
        <f>+'19-Results of Op-Cur Fnd'!H44</f>
        <v>1215764.4700000046</v>
      </c>
      <c r="M9" s="325"/>
    </row>
    <row r="10" spans="2:13" ht="21" customHeight="1">
      <c r="B10" s="87" t="s">
        <v>387</v>
      </c>
      <c r="C10" s="281" t="str">
        <f>"Amount Appropriated in the "&amp;TEXT('KEY INPUTS'!D34,"0")&amp;" Budget - Cash"</f>
        <v>Amount Appropriated in the 2019 Budget - Cash</v>
      </c>
      <c r="D10" s="5"/>
      <c r="E10" s="5"/>
      <c r="F10" s="5"/>
      <c r="G10" s="5"/>
      <c r="H10" s="5"/>
      <c r="I10" s="5"/>
      <c r="J10" s="5" t="s">
        <v>1069</v>
      </c>
      <c r="K10" s="335">
        <f>+'17-Budget Revenues'!H6</f>
        <v>1025000</v>
      </c>
      <c r="L10" s="47" t="s">
        <v>787</v>
      </c>
    </row>
    <row r="11" spans="2:13" ht="11.25" customHeight="1">
      <c r="B11" s="85" t="s">
        <v>388</v>
      </c>
      <c r="C11" s="280" t="str">
        <f>"Amount Appropriated in "&amp;TEXT('KEY INPUTS'!D34,"0")&amp;" Budget - with Prior Written-"</f>
        <v>Amount Appropriated in 2019 Budget - with Prior Written-</v>
      </c>
      <c r="K11" s="104"/>
      <c r="L11" s="986"/>
    </row>
    <row r="12" spans="2:13" ht="12.75" customHeight="1">
      <c r="B12" s="88"/>
      <c r="C12" s="30" t="s">
        <v>1065</v>
      </c>
      <c r="D12" s="30"/>
      <c r="E12" s="30"/>
      <c r="F12" s="30"/>
      <c r="G12" s="30"/>
      <c r="H12" s="30"/>
      <c r="I12" s="30"/>
      <c r="J12" s="30" t="s">
        <v>1066</v>
      </c>
      <c r="K12" s="103">
        <f>+'17-Budget Revenues'!H8</f>
        <v>0</v>
      </c>
      <c r="L12" s="987" t="s">
        <v>787</v>
      </c>
    </row>
    <row r="13" spans="2:13" ht="21" customHeight="1">
      <c r="B13" s="87" t="s">
        <v>389</v>
      </c>
      <c r="C13" s="566"/>
      <c r="D13" s="566"/>
      <c r="E13" s="566"/>
      <c r="F13" s="566"/>
      <c r="G13" s="566"/>
      <c r="H13" s="5"/>
      <c r="I13" s="5"/>
      <c r="J13" s="5"/>
      <c r="K13" s="372"/>
      <c r="L13" s="47" t="s">
        <v>787</v>
      </c>
    </row>
    <row r="14" spans="2:13" ht="21" customHeight="1" thickBot="1">
      <c r="B14" s="87" t="s">
        <v>390</v>
      </c>
      <c r="C14" s="5" t="str">
        <f>'KEY INPUTS'!D26</f>
        <v>Balance - December 31, 2019</v>
      </c>
      <c r="D14" s="5"/>
      <c r="E14" s="5"/>
      <c r="F14" s="5"/>
      <c r="G14" s="5"/>
      <c r="H14" s="5"/>
      <c r="I14" s="5"/>
      <c r="J14" s="5" t="s">
        <v>1070</v>
      </c>
      <c r="K14" s="235">
        <f>+L7+L8+L9-K10-K12-K13</f>
        <v>4356673.4300000044</v>
      </c>
      <c r="L14" s="48" t="s">
        <v>787</v>
      </c>
      <c r="M14" s="228"/>
    </row>
    <row r="15" spans="2:13" ht="21" customHeight="1" thickBot="1">
      <c r="K15" s="219">
        <f>SUM(K10:K14)</f>
        <v>5381673.4300000044</v>
      </c>
      <c r="L15" s="234">
        <f>SUM(L7:L14)</f>
        <v>5381673.4300000044</v>
      </c>
      <c r="M15" s="228"/>
    </row>
    <row r="16" spans="2:13" ht="13.8" thickTop="1"/>
    <row r="17" spans="2:13">
      <c r="L17" s="228"/>
    </row>
    <row r="19" spans="2:13" ht="17.399999999999999">
      <c r="B19" s="1560" t="str">
        <f>"ANALYSIS OF BALANCE DECEMBER 31, "&amp;TEXT('KEY INPUTS'!D34,"0")</f>
        <v>ANALYSIS OF BALANCE DECEMBER 31, 2019</v>
      </c>
      <c r="C19" s="1560"/>
      <c r="D19" s="1560"/>
      <c r="E19" s="1560"/>
      <c r="F19" s="1560"/>
      <c r="G19" s="1560"/>
      <c r="H19" s="1560"/>
      <c r="I19" s="1560"/>
      <c r="J19" s="1560"/>
      <c r="K19" s="1560"/>
      <c r="L19" s="1560"/>
    </row>
    <row r="20" spans="2:13" ht="17.399999999999999">
      <c r="B20" s="1560" t="s">
        <v>1071</v>
      </c>
      <c r="C20" s="1560"/>
      <c r="D20" s="1560"/>
      <c r="E20" s="1560"/>
      <c r="F20" s="1560"/>
      <c r="G20" s="1560"/>
      <c r="H20" s="1560"/>
      <c r="I20" s="1560"/>
      <c r="J20" s="1560"/>
      <c r="K20" s="1560"/>
      <c r="L20" s="1560"/>
    </row>
    <row r="21" spans="2:13" ht="13.8" thickBot="1"/>
    <row r="22" spans="2:13" ht="32.1" customHeight="1" thickTop="1" thickBot="1">
      <c r="B22" s="61"/>
      <c r="C22" s="61"/>
      <c r="D22" s="61"/>
      <c r="E22" s="61"/>
      <c r="F22" s="61"/>
      <c r="G22" s="61"/>
      <c r="H22" s="61"/>
      <c r="I22" s="61"/>
      <c r="J22" s="61"/>
      <c r="K22" s="61"/>
      <c r="L22" s="89"/>
    </row>
    <row r="23" spans="2:13" ht="21" customHeight="1" thickTop="1" thickBot="1">
      <c r="B23" s="22" t="s">
        <v>253</v>
      </c>
      <c r="C23" s="22"/>
      <c r="D23" s="22"/>
      <c r="E23" s="22"/>
      <c r="F23" s="22"/>
      <c r="G23" s="22"/>
      <c r="H23" s="22"/>
      <c r="I23" s="22"/>
      <c r="J23" s="22"/>
      <c r="K23" s="50" t="s">
        <v>1072</v>
      </c>
      <c r="L23" s="221">
        <f>+'3-Trial Bal-Current Fund'!G11</f>
        <v>6373434.9899999984</v>
      </c>
      <c r="M23" s="742"/>
    </row>
    <row r="24" spans="2:13" ht="21" customHeight="1" thickTop="1">
      <c r="B24" s="5" t="s">
        <v>419</v>
      </c>
      <c r="C24" s="5"/>
      <c r="D24" s="5"/>
      <c r="E24" s="5"/>
      <c r="F24" s="5"/>
      <c r="G24" s="5"/>
      <c r="H24" s="5"/>
      <c r="I24" s="5"/>
      <c r="J24" s="5"/>
      <c r="K24" s="49" t="s">
        <v>1073</v>
      </c>
      <c r="L24" s="587"/>
      <c r="M24" s="710"/>
    </row>
    <row r="25" spans="2:13" ht="21" customHeight="1" thickBot="1">
      <c r="B25" s="567"/>
      <c r="C25" s="566"/>
      <c r="D25" s="566"/>
      <c r="E25" s="566"/>
      <c r="F25" s="566"/>
      <c r="G25" s="566"/>
      <c r="H25" s="566"/>
      <c r="I25" s="566"/>
      <c r="J25" s="5"/>
      <c r="K25" s="49"/>
      <c r="L25" s="585"/>
    </row>
    <row r="26" spans="2:13" ht="21" customHeight="1">
      <c r="B26" s="5" t="s">
        <v>886</v>
      </c>
      <c r="C26" s="5"/>
      <c r="D26" s="5"/>
      <c r="E26" s="5"/>
      <c r="F26" s="5"/>
      <c r="G26" s="5"/>
      <c r="H26" s="5"/>
      <c r="I26" s="5"/>
      <c r="J26" s="5"/>
      <c r="K26" s="49"/>
      <c r="L26" s="223">
        <f>+L23+L24+L25</f>
        <v>6373434.9899999984</v>
      </c>
    </row>
    <row r="27" spans="2:13" ht="21" customHeight="1" thickBot="1">
      <c r="B27" s="5" t="s">
        <v>470</v>
      </c>
      <c r="C27" s="5"/>
      <c r="D27" s="5"/>
      <c r="E27" s="5"/>
      <c r="F27" s="5"/>
      <c r="G27" s="5"/>
      <c r="H27" s="5"/>
      <c r="I27" s="5"/>
      <c r="J27" s="5"/>
      <c r="K27" s="49" t="s">
        <v>1074</v>
      </c>
      <c r="L27" s="237">
        <f>+'3a.1-Trial Bal-Current Fund'!H25</f>
        <v>2020903.3499999989</v>
      </c>
      <c r="M27" s="710"/>
    </row>
    <row r="28" spans="2:13" ht="21" customHeight="1" thickBot="1">
      <c r="B28" s="5" t="s">
        <v>471</v>
      </c>
      <c r="C28" s="5"/>
      <c r="D28" s="5"/>
      <c r="E28" s="5"/>
      <c r="F28" s="5"/>
      <c r="G28" s="5"/>
      <c r="H28" s="5"/>
      <c r="I28" s="5"/>
      <c r="J28" s="5"/>
      <c r="K28" s="49" t="s">
        <v>1075</v>
      </c>
      <c r="L28" s="223">
        <f>+L26-L27</f>
        <v>4352531.6399999997</v>
      </c>
    </row>
    <row r="29" spans="2:13" ht="21" customHeight="1" thickTop="1">
      <c r="B29" s="5" t="s">
        <v>472</v>
      </c>
      <c r="C29" s="5"/>
      <c r="D29" s="5"/>
      <c r="E29" s="5"/>
      <c r="F29" s="5"/>
      <c r="G29" s="5"/>
      <c r="H29" s="5"/>
      <c r="I29" s="5"/>
      <c r="J29" s="5"/>
      <c r="K29" s="49" t="s">
        <v>1076</v>
      </c>
      <c r="L29" s="587"/>
    </row>
    <row r="30" spans="2:13" ht="21" customHeight="1">
      <c r="B30" s="5" t="s">
        <v>477</v>
      </c>
      <c r="C30" s="5"/>
      <c r="D30" s="5"/>
      <c r="E30" s="5"/>
      <c r="F30" s="5"/>
      <c r="G30" s="5"/>
      <c r="H30" s="5"/>
      <c r="I30" s="5"/>
      <c r="J30" s="5"/>
      <c r="K30" s="24"/>
      <c r="L30" s="236"/>
    </row>
    <row r="31" spans="2:13" ht="22.5" customHeight="1">
      <c r="B31" s="5"/>
      <c r="C31" s="1630" t="s">
        <v>478</v>
      </c>
      <c r="D31" s="1630"/>
      <c r="E31" s="1630"/>
      <c r="F31" s="1630"/>
      <c r="G31" s="1630"/>
      <c r="H31" s="90"/>
      <c r="I31" s="5"/>
      <c r="J31" s="5" t="s">
        <v>1077</v>
      </c>
      <c r="K31" s="335">
        <f>+'3-Trial Bal-Current Fund'!G13</f>
        <v>4141.7900000000009</v>
      </c>
      <c r="L31" s="236"/>
    </row>
    <row r="32" spans="2:13" ht="21" customHeight="1">
      <c r="B32" s="5"/>
      <c r="C32" s="5" t="s">
        <v>473</v>
      </c>
      <c r="D32" s="5"/>
      <c r="E32" s="5"/>
      <c r="F32" s="5"/>
      <c r="G32" s="5"/>
      <c r="H32" s="5"/>
      <c r="I32" s="5"/>
      <c r="J32" s="5" t="s">
        <v>1078</v>
      </c>
      <c r="K32" s="372"/>
      <c r="L32" s="236"/>
      <c r="M32" s="741"/>
    </row>
    <row r="33" spans="2:14" ht="21" customHeight="1">
      <c r="B33" s="5"/>
      <c r="C33" s="5" t="s">
        <v>474</v>
      </c>
      <c r="D33" s="5"/>
      <c r="E33" s="5"/>
      <c r="F33" s="5"/>
      <c r="G33" s="5"/>
      <c r="H33" s="5"/>
      <c r="I33" s="5"/>
      <c r="J33" s="5" t="s">
        <v>1079</v>
      </c>
      <c r="K33" s="372"/>
      <c r="L33" s="236"/>
      <c r="M33" s="741"/>
    </row>
    <row r="34" spans="2:14" ht="21" customHeight="1">
      <c r="B34" s="5"/>
      <c r="C34" s="566"/>
      <c r="D34" s="566"/>
      <c r="E34" s="566"/>
      <c r="F34" s="566"/>
      <c r="G34" s="566"/>
      <c r="H34" s="566"/>
      <c r="I34" s="566"/>
      <c r="J34" s="566"/>
      <c r="K34" s="372"/>
      <c r="L34" s="236"/>
    </row>
    <row r="35" spans="2:14" ht="21" customHeight="1">
      <c r="B35" s="5"/>
      <c r="C35" s="566"/>
      <c r="D35" s="566"/>
      <c r="E35" s="566"/>
      <c r="F35" s="566"/>
      <c r="G35" s="566"/>
      <c r="H35" s="566"/>
      <c r="I35" s="566"/>
      <c r="J35" s="566"/>
      <c r="K35" s="372"/>
      <c r="L35" s="236"/>
    </row>
    <row r="36" spans="2:14" ht="21" customHeight="1">
      <c r="B36" s="5"/>
      <c r="C36" s="566"/>
      <c r="D36" s="566"/>
      <c r="E36" s="566"/>
      <c r="F36" s="566"/>
      <c r="G36" s="566"/>
      <c r="H36" s="566"/>
      <c r="I36" s="566"/>
      <c r="J36" s="566"/>
      <c r="K36" s="372"/>
      <c r="L36" s="236"/>
    </row>
    <row r="37" spans="2:14" ht="21" customHeight="1">
      <c r="B37" s="5"/>
      <c r="C37" s="566"/>
      <c r="D37" s="566"/>
      <c r="E37" s="566"/>
      <c r="F37" s="566"/>
      <c r="G37" s="566"/>
      <c r="H37" s="566"/>
      <c r="I37" s="566"/>
      <c r="J37" s="566"/>
      <c r="K37" s="372"/>
      <c r="L37" s="236"/>
    </row>
    <row r="38" spans="2:14" ht="21" customHeight="1" thickBot="1">
      <c r="B38" s="5"/>
      <c r="C38" s="5"/>
      <c r="D38" s="5" t="s">
        <v>475</v>
      </c>
      <c r="E38" s="5"/>
      <c r="F38" s="5"/>
      <c r="G38" s="5"/>
      <c r="H38" s="5"/>
      <c r="I38" s="5"/>
      <c r="J38" s="5"/>
      <c r="K38" s="75" t="s">
        <v>417</v>
      </c>
      <c r="L38" s="237">
        <f>SUM(K31:K37)</f>
        <v>4141.7900000000009</v>
      </c>
    </row>
    <row r="39" spans="2:14" ht="21" customHeight="1" thickBot="1">
      <c r="B39" t="s">
        <v>1134</v>
      </c>
      <c r="K39" s="38" t="s">
        <v>418</v>
      </c>
      <c r="L39" s="238">
        <f>+L28+L38</f>
        <v>4356673.43</v>
      </c>
      <c r="M39" s="228"/>
      <c r="N39" s="325"/>
    </row>
    <row r="40" spans="2:14" ht="14.4" thickTop="1">
      <c r="C40" t="s">
        <v>1135</v>
      </c>
      <c r="L40" s="93"/>
    </row>
    <row r="41" spans="2:14">
      <c r="B41" s="280" t="str">
        <f>"# MAY NOT BE ANTICIPATED AS NON-CASH SURPLUS IN "&amp;TEXT('KEY INPUTS'!D33,"0")&amp;" BUDGET."</f>
        <v># MAY NOT BE ANTICIPATED AS NON-CASH SURPLUS IN 2020 BUDGET.</v>
      </c>
      <c r="L41" s="228"/>
    </row>
    <row r="42" spans="2:14">
      <c r="B42" t="s">
        <v>978</v>
      </c>
    </row>
    <row r="44" spans="2:14">
      <c r="B44" s="100" t="s">
        <v>1136</v>
      </c>
    </row>
    <row r="45" spans="2:14">
      <c r="B45" s="100" t="s">
        <v>1137</v>
      </c>
    </row>
    <row r="46" spans="2:14">
      <c r="B46" s="100" t="s">
        <v>0</v>
      </c>
    </row>
    <row r="50" spans="2:12" ht="13.8">
      <c r="B50" s="1507" t="s">
        <v>476</v>
      </c>
      <c r="C50" s="1507"/>
      <c r="D50" s="1507"/>
      <c r="E50" s="1507"/>
      <c r="F50" s="1507"/>
      <c r="G50" s="1507"/>
      <c r="H50" s="1507"/>
      <c r="I50" s="1507"/>
      <c r="J50" s="1507"/>
      <c r="K50" s="1507"/>
      <c r="L50" s="1507"/>
    </row>
    <row r="52" spans="2:12">
      <c r="L52" s="228"/>
    </row>
  </sheetData>
  <sheetProtection algorithmName="SHA-512" hashValue="Gv2B09M/9JSkCmgacS+sQCdcf9Px2sNtLYAX6iLmL8JAuxEEai9JU5z26keDra2z3XPJjdu8YR1+7nDbAm8wxg==" saltValue="z3yWjLQwfadP5o8c6FYTqw==" spinCount="100000" sheet="1" objects="1" scenarios="1"/>
  <customSheetViews>
    <customSheetView guid="{AC653BD0-46E3-42CB-9C76-32121A57B65A}">
      <selection activeCell="N17" sqref="N17"/>
      <pageMargins left="0.25" right="0.25" top="0.5" bottom="0.5" header="0.25" footer="0.25"/>
      <pageSetup paperSize="5" orientation="portrait" r:id="rId1"/>
      <headerFooter alignWithMargins="0"/>
    </customSheetView>
    <customSheetView guid="{B165479B-DC25-403C-9595-F1A88A4AA9A2}">
      <selection activeCell="N10" sqref="N10"/>
      <pageMargins left="0.25" right="0.25" top="0.5" bottom="0.5" header="0.25" footer="0.25"/>
      <pageSetup paperSize="5" orientation="portrait" r:id="rId2"/>
      <headerFooter alignWithMargins="0"/>
    </customSheetView>
    <customSheetView guid="{A64E4C9E-A3DA-4AAA-8607-F524450B9436}">
      <selection activeCell="L9" sqref="L9"/>
      <pageMargins left="0.25" right="0.25" top="0.5" bottom="0.5" header="0.25" footer="0.25"/>
      <pageSetup paperSize="5" orientation="portrait" r:id="rId3"/>
      <headerFooter alignWithMargins="0"/>
    </customSheetView>
    <customSheetView guid="{AB4FBD91-4533-473A-9702-569FF6402073}">
      <selection activeCell="L9" sqref="L9"/>
      <pageMargins left="0.25" right="0.25" top="0.5" bottom="0.5" header="0.25" footer="0.25"/>
      <pageSetup paperSize="5" orientation="portrait" r:id="rId4"/>
      <headerFooter alignWithMargins="0"/>
    </customSheetView>
  </customSheetViews>
  <mergeCells count="6">
    <mergeCell ref="C31:G31"/>
    <mergeCell ref="B50:L50"/>
    <mergeCell ref="B3:L3"/>
    <mergeCell ref="B4:L4"/>
    <mergeCell ref="B19:L19"/>
    <mergeCell ref="B20:L20"/>
  </mergeCells>
  <phoneticPr fontId="0" type="noConversion"/>
  <pageMargins left="0.25" right="0.25" top="0.5" bottom="0.5" header="0.25" footer="0.25"/>
  <pageSetup paperSize="5" orientation="portrait" r:id="rId5"/>
  <headerFooter alignWithMargins="0"/>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
    <pageSetUpPr fitToPage="1"/>
  </sheetPr>
  <dimension ref="A2:Q63"/>
  <sheetViews>
    <sheetView topLeftCell="A58" zoomScaleNormal="100" workbookViewId="0">
      <selection activeCell="B3" sqref="B3:O3"/>
    </sheetView>
  </sheetViews>
  <sheetFormatPr defaultRowHeight="13.2"/>
  <cols>
    <col min="1" max="1" width="4.6640625" customWidth="1"/>
    <col min="2" max="2" width="4.33203125" customWidth="1"/>
    <col min="3" max="3" width="5.33203125" customWidth="1"/>
    <col min="4" max="4" width="4.6640625" customWidth="1"/>
    <col min="5" max="5" width="6.44140625" customWidth="1"/>
    <col min="6" max="6" width="7.6640625" customWidth="1"/>
    <col min="7" max="7" width="2.6640625" customWidth="1"/>
    <col min="8" max="8" width="9.6640625" customWidth="1"/>
    <col min="9" max="9" width="1.6640625" customWidth="1"/>
    <col min="10" max="10" width="16.6640625" customWidth="1"/>
    <col min="11" max="11" width="1.6640625" customWidth="1"/>
    <col min="12" max="12" width="16.6640625" customWidth="1"/>
    <col min="13" max="13" width="1.6640625" customWidth="1"/>
    <col min="14" max="14" width="16.6640625" customWidth="1"/>
    <col min="15" max="15" width="13.5546875" bestFit="1" customWidth="1"/>
    <col min="17" max="17" width="10.88671875" bestFit="1" customWidth="1"/>
  </cols>
  <sheetData>
    <row r="2" spans="2:17" ht="15.6">
      <c r="B2" s="1542" t="s">
        <v>479</v>
      </c>
      <c r="C2" s="1542"/>
      <c r="D2" s="1542"/>
      <c r="E2" s="1542"/>
      <c r="F2" s="1542"/>
      <c r="G2" s="1542"/>
      <c r="H2" s="1542"/>
      <c r="I2" s="1542"/>
      <c r="J2" s="1542"/>
      <c r="K2" s="1542"/>
      <c r="L2" s="1542"/>
      <c r="M2" s="1542"/>
      <c r="N2" s="1542"/>
    </row>
    <row r="3" spans="2:17" ht="22.8">
      <c r="B3" s="1549" t="str">
        <f>"CURRENT TAXES - "&amp;TEXT('KEY INPUTS'!D34,"0")&amp; " LEVY"</f>
        <v>CURRENT TAXES - 2019 LEVY</v>
      </c>
      <c r="C3" s="1549"/>
      <c r="D3" s="1549"/>
      <c r="E3" s="1549"/>
      <c r="F3" s="1549"/>
      <c r="G3" s="1549"/>
      <c r="H3" s="1549"/>
      <c r="I3" s="1549"/>
      <c r="J3" s="1549"/>
      <c r="K3" s="1549"/>
      <c r="L3" s="1549"/>
      <c r="M3" s="1549"/>
      <c r="N3" s="1549"/>
    </row>
    <row r="5" spans="2:17">
      <c r="B5" s="85" t="s">
        <v>384</v>
      </c>
      <c r="C5" t="s">
        <v>480</v>
      </c>
      <c r="L5" s="38" t="s">
        <v>481</v>
      </c>
      <c r="M5" t="s">
        <v>482</v>
      </c>
      <c r="N5" s="580">
        <v>37387085.439999998</v>
      </c>
      <c r="O5" s="228"/>
      <c r="Q5" s="291"/>
    </row>
    <row r="6" spans="2:17">
      <c r="B6" s="85"/>
      <c r="G6" s="1" t="s">
        <v>485</v>
      </c>
      <c r="Q6" s="291"/>
    </row>
    <row r="7" spans="2:17">
      <c r="B7" s="85"/>
      <c r="F7" t="s">
        <v>486</v>
      </c>
      <c r="L7" s="38" t="s">
        <v>483</v>
      </c>
      <c r="M7" t="s">
        <v>482</v>
      </c>
      <c r="N7" s="580"/>
    </row>
    <row r="8" spans="2:17">
      <c r="B8" s="85"/>
    </row>
    <row r="9" spans="2:17">
      <c r="B9" s="85" t="s">
        <v>385</v>
      </c>
      <c r="C9" t="s">
        <v>979</v>
      </c>
      <c r="L9" s="38" t="s">
        <v>484</v>
      </c>
      <c r="M9" t="s">
        <v>482</v>
      </c>
      <c r="N9" s="580"/>
    </row>
    <row r="10" spans="2:17">
      <c r="B10" s="85"/>
    </row>
    <row r="11" spans="2:17">
      <c r="B11" s="85" t="s">
        <v>386</v>
      </c>
      <c r="C11" t="s">
        <v>490</v>
      </c>
    </row>
    <row r="12" spans="2:17">
      <c r="B12" s="85"/>
      <c r="C12" t="s">
        <v>488</v>
      </c>
      <c r="L12" s="38" t="s">
        <v>492</v>
      </c>
      <c r="M12" t="s">
        <v>482</v>
      </c>
      <c r="N12" s="580">
        <v>23720.95</v>
      </c>
      <c r="O12" s="228"/>
    </row>
    <row r="13" spans="2:17">
      <c r="B13" s="85"/>
    </row>
    <row r="14" spans="2:17">
      <c r="B14" s="85" t="s">
        <v>387</v>
      </c>
      <c r="C14" t="s">
        <v>487</v>
      </c>
    </row>
    <row r="15" spans="2:17">
      <c r="B15" s="85"/>
      <c r="C15" t="s">
        <v>489</v>
      </c>
      <c r="L15" s="38" t="s">
        <v>491</v>
      </c>
      <c r="M15" t="s">
        <v>482</v>
      </c>
      <c r="N15" s="580">
        <v>216935.1</v>
      </c>
    </row>
    <row r="16" spans="2:17">
      <c r="B16" s="85"/>
    </row>
    <row r="17" spans="2:15">
      <c r="B17" s="85" t="s">
        <v>493</v>
      </c>
      <c r="C17" s="280" t="str">
        <f>"Subtotal "&amp;TEXT('KEY INPUTS'!D34,"0")&amp;" Levy"</f>
        <v>Subtotal 2019 Levy</v>
      </c>
      <c r="I17" t="s">
        <v>482</v>
      </c>
      <c r="J17" s="272">
        <f>SUM(N5:N15)</f>
        <v>37627741.490000002</v>
      </c>
      <c r="K17" s="277"/>
      <c r="L17" s="277"/>
      <c r="M17" s="277"/>
      <c r="N17" s="277"/>
    </row>
    <row r="18" spans="2:15">
      <c r="B18" s="85" t="s">
        <v>494</v>
      </c>
      <c r="C18" t="s">
        <v>495</v>
      </c>
      <c r="I18" t="s">
        <v>482</v>
      </c>
      <c r="J18" s="580"/>
      <c r="K18" s="277"/>
      <c r="L18" s="277"/>
      <c r="M18" s="277"/>
      <c r="N18" s="277"/>
    </row>
    <row r="19" spans="2:15" ht="13.8" thickBot="1">
      <c r="B19" s="85" t="s">
        <v>496</v>
      </c>
      <c r="C19" s="280" t="str">
        <f>"Total "&amp;TEXT('KEY INPUTS'!D34,"0") &amp; " Tax Levy"</f>
        <v>Total 2019 Tax Levy</v>
      </c>
      <c r="J19" s="277"/>
      <c r="K19" s="277"/>
      <c r="L19" s="358" t="s">
        <v>497</v>
      </c>
      <c r="M19" s="277" t="s">
        <v>482</v>
      </c>
      <c r="N19" s="359">
        <f>+J17-J18</f>
        <v>37627741.490000002</v>
      </c>
    </row>
    <row r="20" spans="2:15" ht="13.8" thickTop="1">
      <c r="B20" s="85"/>
      <c r="J20" s="277"/>
      <c r="K20" s="277"/>
      <c r="L20" s="277"/>
      <c r="M20" s="277"/>
      <c r="N20" s="277"/>
    </row>
    <row r="21" spans="2:15" ht="21" customHeight="1">
      <c r="B21" s="85" t="s">
        <v>389</v>
      </c>
      <c r="C21" t="s">
        <v>205</v>
      </c>
      <c r="J21" s="277"/>
      <c r="K21" s="277"/>
      <c r="L21" s="358" t="s">
        <v>498</v>
      </c>
      <c r="M21" s="277" t="s">
        <v>482</v>
      </c>
      <c r="N21" s="580"/>
      <c r="O21" s="228"/>
    </row>
    <row r="22" spans="2:15" ht="21" customHeight="1">
      <c r="B22" s="85" t="s">
        <v>390</v>
      </c>
      <c r="C22" t="s">
        <v>499</v>
      </c>
      <c r="J22" s="277"/>
      <c r="K22" s="277"/>
      <c r="L22" s="358" t="s">
        <v>500</v>
      </c>
      <c r="M22" s="277" t="s">
        <v>482</v>
      </c>
      <c r="N22" s="580"/>
    </row>
    <row r="23" spans="2:15" ht="21" customHeight="1">
      <c r="B23" s="85" t="s">
        <v>501</v>
      </c>
      <c r="C23" t="s">
        <v>1046</v>
      </c>
      <c r="J23" s="277"/>
      <c r="K23" s="277"/>
      <c r="L23" s="358" t="s">
        <v>500</v>
      </c>
      <c r="M23" s="277" t="s">
        <v>482</v>
      </c>
      <c r="N23" s="580">
        <v>36268.559999999998</v>
      </c>
      <c r="O23" s="228"/>
    </row>
    <row r="24" spans="2:15" ht="21" customHeight="1">
      <c r="B24" s="85" t="s">
        <v>502</v>
      </c>
      <c r="C24" t="s">
        <v>1047</v>
      </c>
      <c r="J24" s="277"/>
      <c r="K24" s="277"/>
      <c r="L24" s="358" t="s">
        <v>500</v>
      </c>
      <c r="M24" s="277" t="s">
        <v>482</v>
      </c>
      <c r="N24" s="580"/>
    </row>
    <row r="25" spans="2:15" ht="21" customHeight="1">
      <c r="B25" s="85" t="s">
        <v>503</v>
      </c>
      <c r="C25" s="280" t="str">
        <f>"Collected in Cash:  In "&amp;TEXT('KEY INPUTS'!D35,"0")</f>
        <v>Collected in Cash:  In 2018</v>
      </c>
      <c r="J25" s="358" t="s">
        <v>1048</v>
      </c>
      <c r="K25" s="277" t="s">
        <v>482</v>
      </c>
      <c r="L25" s="580">
        <v>220520.13</v>
      </c>
      <c r="M25" s="277"/>
      <c r="N25" s="277"/>
      <c r="O25" s="228"/>
    </row>
    <row r="26" spans="2:15" ht="21" customHeight="1">
      <c r="B26" s="85"/>
      <c r="F26" s="302" t="str">
        <f>"In "&amp;TEXT('KEY INPUTS'!D34,"0")&amp;" *"</f>
        <v>In 2019 *</v>
      </c>
      <c r="J26" s="358" t="s">
        <v>1049</v>
      </c>
      <c r="K26" s="277" t="s">
        <v>482</v>
      </c>
      <c r="L26" s="580">
        <v>36892566.630000003</v>
      </c>
      <c r="M26" s="277"/>
      <c r="N26" s="277"/>
      <c r="O26" s="228"/>
    </row>
    <row r="27" spans="2:15" ht="21" customHeight="1">
      <c r="B27" s="85"/>
      <c r="C27" t="s">
        <v>1154</v>
      </c>
      <c r="J27" s="358"/>
      <c r="K27" s="277" t="s">
        <v>482</v>
      </c>
      <c r="L27" s="580">
        <v>180463.86</v>
      </c>
      <c r="M27" s="277"/>
      <c r="N27" s="277"/>
    </row>
    <row r="28" spans="2:15">
      <c r="B28" s="85"/>
      <c r="J28" s="277"/>
      <c r="K28" s="277"/>
      <c r="L28" s="277"/>
      <c r="M28" s="277"/>
      <c r="N28" s="277"/>
    </row>
    <row r="29" spans="2:15">
      <c r="B29" s="85"/>
      <c r="C29" s="280" t="str">
        <f>"State's Share of "&amp;TEXT('KEY INPUTS'!D34,"0")&amp;" Senior Citizens"</f>
        <v>State's Share of 2019 Senior Citizens</v>
      </c>
      <c r="J29" s="277"/>
      <c r="K29" s="277"/>
      <c r="L29" s="277"/>
      <c r="M29" s="277"/>
      <c r="N29" s="277"/>
    </row>
    <row r="30" spans="2:15">
      <c r="B30" s="85"/>
      <c r="C30" t="s">
        <v>284</v>
      </c>
      <c r="J30" s="358" t="s">
        <v>285</v>
      </c>
      <c r="K30" s="277" t="s">
        <v>482</v>
      </c>
      <c r="L30" s="272">
        <f>+'23-SCVet Deductions'!G37</f>
        <v>25750</v>
      </c>
      <c r="M30" s="277"/>
      <c r="N30" s="277"/>
    </row>
    <row r="31" spans="2:15">
      <c r="B31" s="85"/>
      <c r="J31" s="277"/>
      <c r="K31" s="277"/>
      <c r="L31" s="277"/>
      <c r="M31" s="277"/>
      <c r="N31" s="277"/>
    </row>
    <row r="32" spans="2:15" ht="13.8" thickBot="1">
      <c r="B32" s="85"/>
      <c r="C32" t="s">
        <v>286</v>
      </c>
      <c r="J32" s="38" t="s">
        <v>287</v>
      </c>
      <c r="K32" t="s">
        <v>482</v>
      </c>
      <c r="L32" s="84">
        <f>SUM(L25:L30)</f>
        <v>37319300.620000005</v>
      </c>
    </row>
    <row r="33" spans="2:15" ht="13.8" thickTop="1">
      <c r="B33" s="85"/>
    </row>
    <row r="34" spans="2:15" ht="21" customHeight="1" thickBot="1">
      <c r="B34" s="85" t="s">
        <v>288</v>
      </c>
      <c r="C34" t="s">
        <v>289</v>
      </c>
      <c r="M34" t="s">
        <v>482</v>
      </c>
      <c r="N34" s="84">
        <f>+SUM(N21:N24)+L32</f>
        <v>37355569.180000007</v>
      </c>
    </row>
    <row r="35" spans="2:15" ht="21" customHeight="1" thickTop="1">
      <c r="B35" s="85" t="s">
        <v>290</v>
      </c>
      <c r="C35" s="280" t="str">
        <f>"Amount Outstanding  December 31, "&amp;TEXT('KEY INPUTS'!D34,"0")</f>
        <v>Amount Outstanding  December 31, 2019</v>
      </c>
      <c r="L35" s="38" t="s">
        <v>291</v>
      </c>
      <c r="M35" t="s">
        <v>482</v>
      </c>
      <c r="N35" s="67">
        <f>+N19-N34</f>
        <v>272172.30999999493</v>
      </c>
      <c r="O35" s="228"/>
    </row>
    <row r="36" spans="2:15">
      <c r="B36" s="85"/>
      <c r="N36" s="228"/>
    </row>
    <row r="37" spans="2:15">
      <c r="B37" s="85" t="s">
        <v>292</v>
      </c>
      <c r="C37" s="280" t="str">
        <f>"Percentage of Cash Collections to Total "&amp;TEXT('KEY INPUTS'!D34,"0")&amp;" Levy,"</f>
        <v>Percentage of Cash Collections to Total 2019 Levy,</v>
      </c>
      <c r="N37" s="228"/>
    </row>
    <row r="38" spans="2:15" ht="15.6">
      <c r="B38" s="85"/>
      <c r="C38" t="s">
        <v>294</v>
      </c>
      <c r="H38" s="769">
        <f>TRUNC(+L32/N19, 4)</f>
        <v>0.99180000000000001</v>
      </c>
      <c r="O38" s="228"/>
    </row>
    <row r="39" spans="2:15">
      <c r="B39" s="85"/>
      <c r="H39" s="57" t="s">
        <v>295</v>
      </c>
    </row>
    <row r="40" spans="2:15">
      <c r="B40" s="85"/>
    </row>
    <row r="41" spans="2:15">
      <c r="B41" s="91" t="s">
        <v>718</v>
      </c>
    </row>
    <row r="42" spans="2:15">
      <c r="B42" s="85"/>
    </row>
    <row r="43" spans="2:15">
      <c r="B43" s="85" t="s">
        <v>719</v>
      </c>
      <c r="C43" s="37" t="s">
        <v>720</v>
      </c>
    </row>
    <row r="44" spans="2:15">
      <c r="B44" s="85"/>
    </row>
    <row r="45" spans="2:15">
      <c r="B45" s="85"/>
      <c r="C45" t="s">
        <v>721</v>
      </c>
      <c r="K45" t="s">
        <v>482</v>
      </c>
      <c r="L45" s="67">
        <f>+L32</f>
        <v>37319300.620000005</v>
      </c>
    </row>
    <row r="46" spans="2:15">
      <c r="B46" s="85"/>
      <c r="C46" t="s">
        <v>722</v>
      </c>
      <c r="D46" t="s">
        <v>723</v>
      </c>
    </row>
    <row r="47" spans="2:15">
      <c r="B47" s="85"/>
      <c r="D47" t="s">
        <v>724</v>
      </c>
      <c r="K47" t="s">
        <v>482</v>
      </c>
      <c r="L47" s="580"/>
    </row>
    <row r="48" spans="2:15" ht="21" customHeight="1">
      <c r="B48" s="85"/>
      <c r="C48" t="s">
        <v>725</v>
      </c>
      <c r="K48" t="s">
        <v>482</v>
      </c>
      <c r="L48" s="67">
        <f>+L45-L47</f>
        <v>37319300.620000005</v>
      </c>
    </row>
    <row r="49" spans="1:14">
      <c r="B49" s="85"/>
    </row>
    <row r="50" spans="1:14">
      <c r="A50" s="100"/>
      <c r="B50" s="203" t="s">
        <v>1</v>
      </c>
      <c r="C50" s="100" t="s">
        <v>2</v>
      </c>
    </row>
    <row r="51" spans="1:14">
      <c r="A51" s="100"/>
      <c r="B51" s="100"/>
      <c r="C51" s="100" t="s">
        <v>3</v>
      </c>
    </row>
    <row r="52" spans="1:14">
      <c r="A52" s="100"/>
      <c r="B52" s="100"/>
      <c r="C52" s="100" t="s">
        <v>900</v>
      </c>
    </row>
    <row r="53" spans="1:14">
      <c r="A53" s="100"/>
      <c r="B53" s="100"/>
      <c r="C53" s="204" t="s">
        <v>372</v>
      </c>
    </row>
    <row r="54" spans="1:14">
      <c r="A54" s="100"/>
      <c r="B54" s="100"/>
      <c r="C54" s="100" t="s">
        <v>924</v>
      </c>
    </row>
    <row r="56" spans="1:14">
      <c r="A56" s="100"/>
      <c r="B56" s="203" t="s">
        <v>925</v>
      </c>
      <c r="C56" s="100" t="s">
        <v>466</v>
      </c>
    </row>
    <row r="57" spans="1:14">
      <c r="A57" s="100"/>
      <c r="B57" s="100"/>
      <c r="C57" s="100" t="s">
        <v>467</v>
      </c>
    </row>
    <row r="60" spans="1:14">
      <c r="A60" s="100"/>
      <c r="B60" s="289" t="str">
        <f>"* Include overpayments applied as part of "&amp;TEXT('KEY INPUTS'!D34,"0")&amp;" collections."</f>
        <v>* Include overpayments applied as part of 2019 collections.</v>
      </c>
      <c r="C60" s="100"/>
    </row>
    <row r="61" spans="1:14">
      <c r="A61" s="100"/>
      <c r="B61" s="100" t="s">
        <v>468</v>
      </c>
      <c r="C61" s="100"/>
      <c r="D61" s="100"/>
      <c r="E61" s="100"/>
    </row>
    <row r="62" spans="1:14">
      <c r="B62" s="100"/>
      <c r="C62" s="100"/>
      <c r="D62" s="100" t="s">
        <v>73</v>
      </c>
      <c r="E62" s="100"/>
    </row>
    <row r="63" spans="1:14" ht="13.8">
      <c r="B63" s="1507" t="s">
        <v>293</v>
      </c>
      <c r="C63" s="1507"/>
      <c r="D63" s="1507"/>
      <c r="E63" s="1507"/>
      <c r="F63" s="1507"/>
      <c r="G63" s="1507"/>
      <c r="H63" s="1507"/>
      <c r="I63" s="1507"/>
      <c r="J63" s="1507"/>
      <c r="K63" s="1507"/>
      <c r="L63" s="1507"/>
      <c r="M63" s="1507"/>
      <c r="N63" s="1507"/>
    </row>
  </sheetData>
  <sheetProtection algorithmName="SHA-512" hashValue="vuTJWYfpRRZ0n7QEfsXiv+WT0dcHX40VmTIouq8eP/5FlUU7Af9TU8a26bL8u7OzIr6bvlmfVrGfVtcy1/rBdQ==" saltValue="PSQb5jYB3j60kW09kll8Q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N21" sqref="N21"/>
      <pageMargins left="0.25" right="0.25" top="0.5" bottom="0.5" header="0.25" footer="0.25"/>
      <pageSetup paperSize="5" orientation="portrait" r:id="rId2"/>
      <headerFooter alignWithMargins="0"/>
    </customSheetView>
    <customSheetView guid="{A64E4C9E-A3DA-4AAA-8607-F524450B9436}">
      <selection activeCell="N21" sqref="N21"/>
      <pageMargins left="0.25" right="0.25" top="0.5" bottom="0.5" header="0.25" footer="0.25"/>
      <pageSetup paperSize="5" orientation="portrait" r:id="rId3"/>
      <headerFooter alignWithMargins="0"/>
    </customSheetView>
    <customSheetView guid="{AB4FBD91-4533-473A-9702-569FF6402073}" topLeftCell="A43">
      <selection activeCell="N21" sqref="N21"/>
      <pageMargins left="0.25" right="0.25" top="0.5" bottom="0.5" header="0.25" footer="0.25"/>
      <pageSetup paperSize="5" orientation="portrait" r:id="rId4"/>
      <headerFooter alignWithMargins="0"/>
    </customSheetView>
  </customSheetViews>
  <mergeCells count="3">
    <mergeCell ref="B2:N2"/>
    <mergeCell ref="B3:N3"/>
    <mergeCell ref="B63:N63"/>
  </mergeCells>
  <phoneticPr fontId="0" type="noConversion"/>
  <pageMargins left="0.25" right="0.25" top="0.5" bottom="0.5" header="0.25" footer="0.25"/>
  <pageSetup paperSize="5" orientation="portrait" r:id="rId5"/>
  <headerFooter alignWithMargins="0"/>
  <drawing r:id="rId6"/>
  <legacyDrawing r:id="rId7"/>
  <mc:AlternateContent xmlns:mc="http://schemas.openxmlformats.org/markup-compatibility/2006">
    <mc:Choice Requires="x14">
      <controls>
        <mc:AlternateContent xmlns:mc="http://schemas.openxmlformats.org/markup-compatibility/2006">
          <mc:Choice Requires="x14">
            <control shapeId="161794" r:id="rId8" name="Check Box 2">
              <controlPr locked="0" defaultSize="0" autoFill="0" autoLine="0" autoPict="0" altText="">
                <anchor moveWithCells="1">
                  <from>
                    <xdr:col>11</xdr:col>
                    <xdr:colOff>800100</xdr:colOff>
                    <xdr:row>39</xdr:row>
                    <xdr:rowOff>106680</xdr:rowOff>
                  </from>
                  <to>
                    <xdr:col>11</xdr:col>
                    <xdr:colOff>1104900</xdr:colOff>
                    <xdr:row>41</xdr:row>
                    <xdr:rowOff>0</xdr:rowOff>
                  </to>
                </anchor>
              </controlPr>
            </control>
          </mc:Choice>
        </mc:AlternateContent>
      </controls>
    </mc:Choice>
  </mc:AlternateContent>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1">
    <pageSetUpPr fitToPage="1"/>
  </sheetPr>
  <dimension ref="B4:U61"/>
  <sheetViews>
    <sheetView topLeftCell="A49" workbookViewId="0">
      <selection activeCell="T80" sqref="T80"/>
    </sheetView>
  </sheetViews>
  <sheetFormatPr defaultRowHeight="13.2"/>
  <cols>
    <col min="1" max="1" width="4.6640625" customWidth="1"/>
    <col min="10" max="10" width="1.6640625" customWidth="1"/>
    <col min="11" max="11" width="16.6640625" customWidth="1"/>
  </cols>
  <sheetData>
    <row r="4" spans="2:21" ht="17.399999999999999">
      <c r="B4" s="1560" t="s">
        <v>726</v>
      </c>
      <c r="C4" s="1560"/>
      <c r="D4" s="1560"/>
      <c r="E4" s="1560"/>
      <c r="F4" s="1560"/>
      <c r="G4" s="1560"/>
      <c r="H4" s="1560"/>
      <c r="I4" s="1560"/>
      <c r="J4" s="1560"/>
      <c r="K4" s="1560"/>
    </row>
    <row r="6" spans="2:21" ht="15.6">
      <c r="B6" s="1509" t="str">
        <f xml:space="preserve"> "To Calculate Underlying Tax Collection Rate for "&amp;TEXT('KEY INPUTS'!D34,"0")</f>
        <v>To Calculate Underlying Tax Collection Rate for 2019</v>
      </c>
      <c r="C6" s="1509"/>
      <c r="D6" s="1509"/>
      <c r="E6" s="1509"/>
      <c r="F6" s="1509"/>
      <c r="G6" s="1509"/>
      <c r="H6" s="1509"/>
      <c r="I6" s="1509"/>
      <c r="J6" s="1509"/>
      <c r="K6" s="1509"/>
    </row>
    <row r="8" spans="2:21">
      <c r="B8" s="1546" t="s">
        <v>841</v>
      </c>
      <c r="C8" s="1546"/>
      <c r="D8" s="1546"/>
      <c r="E8" s="1546"/>
      <c r="F8" s="1546"/>
      <c r="G8" s="1546"/>
      <c r="H8" s="1546"/>
      <c r="I8" s="1546"/>
      <c r="J8" s="1546"/>
      <c r="K8" s="1546"/>
    </row>
    <row r="9" spans="2:21">
      <c r="B9" s="1546" t="s">
        <v>396</v>
      </c>
      <c r="C9" s="1546"/>
      <c r="D9" s="1546"/>
      <c r="E9" s="1546"/>
      <c r="F9" s="1546"/>
      <c r="G9" s="1546"/>
      <c r="H9" s="1546"/>
      <c r="I9" s="1546"/>
      <c r="J9" s="1546"/>
      <c r="K9" s="1546"/>
      <c r="N9" s="377"/>
      <c r="O9" s="322"/>
      <c r="P9" s="322"/>
      <c r="Q9" s="322"/>
      <c r="R9" s="322"/>
      <c r="S9" s="322"/>
      <c r="T9" s="322"/>
      <c r="U9" s="322"/>
    </row>
    <row r="10" spans="2:21">
      <c r="N10" s="322"/>
      <c r="O10" s="322"/>
      <c r="P10" s="322"/>
      <c r="Q10" s="322"/>
      <c r="R10" s="322"/>
      <c r="S10" s="322"/>
      <c r="T10" s="322"/>
      <c r="U10" s="322"/>
    </row>
    <row r="11" spans="2:21">
      <c r="N11" s="322"/>
      <c r="O11" s="322"/>
      <c r="P11" s="322"/>
      <c r="Q11" s="322"/>
      <c r="R11" s="322"/>
      <c r="S11" s="322"/>
      <c r="T11" s="322"/>
      <c r="U11" s="322"/>
    </row>
    <row r="12" spans="2:21">
      <c r="N12" s="322"/>
      <c r="O12" s="322"/>
      <c r="P12" s="322"/>
      <c r="Q12" s="322"/>
      <c r="R12" s="322"/>
      <c r="S12" s="322"/>
      <c r="T12" s="322"/>
      <c r="U12" s="322"/>
    </row>
    <row r="13" spans="2:21" ht="13.8">
      <c r="B13" s="92" t="s">
        <v>842</v>
      </c>
      <c r="N13" s="322"/>
      <c r="O13" s="322"/>
      <c r="P13" s="322"/>
      <c r="Q13" s="322"/>
      <c r="R13" s="322"/>
      <c r="S13" s="322"/>
      <c r="T13" s="322"/>
      <c r="U13" s="322"/>
    </row>
    <row r="14" spans="2:21">
      <c r="N14" s="322"/>
      <c r="O14" s="322"/>
      <c r="P14" s="322"/>
      <c r="Q14" s="322"/>
      <c r="R14" s="322"/>
      <c r="S14" s="322"/>
      <c r="T14" s="322"/>
      <c r="U14" s="322"/>
    </row>
    <row r="15" spans="2:21">
      <c r="K15" s="286"/>
      <c r="N15" s="322"/>
      <c r="O15" s="322"/>
      <c r="P15" s="322"/>
      <c r="Q15" s="322"/>
      <c r="R15" s="322"/>
      <c r="S15" s="322"/>
      <c r="T15" s="322"/>
      <c r="U15" s="322"/>
    </row>
    <row r="16" spans="2:21" ht="27.9" customHeight="1">
      <c r="B16" s="93" t="s">
        <v>843</v>
      </c>
      <c r="J16" t="s">
        <v>482</v>
      </c>
      <c r="K16" s="849">
        <f>+'22-2019 Levy'!L32</f>
        <v>37319300.620000005</v>
      </c>
      <c r="N16" s="322"/>
      <c r="O16" s="322"/>
      <c r="P16" s="322"/>
      <c r="Q16" s="322"/>
      <c r="R16" s="322"/>
      <c r="S16" s="322"/>
      <c r="T16" s="322"/>
      <c r="U16" s="322"/>
    </row>
    <row r="17" spans="2:21" ht="27.9" customHeight="1">
      <c r="B17" s="94" t="s">
        <v>844</v>
      </c>
      <c r="K17" s="578"/>
      <c r="N17" s="322"/>
      <c r="O17" s="322"/>
      <c r="P17" s="322"/>
      <c r="Q17" s="322"/>
      <c r="R17" s="322"/>
      <c r="S17" s="322"/>
      <c r="T17" s="322"/>
      <c r="U17" s="322"/>
    </row>
    <row r="18" spans="2:21" ht="27.9" customHeight="1">
      <c r="D18" s="92" t="s">
        <v>206</v>
      </c>
      <c r="J18" t="s">
        <v>482</v>
      </c>
      <c r="K18" s="980">
        <f>K16-K17</f>
        <v>37319300.620000005</v>
      </c>
      <c r="N18" s="322"/>
      <c r="O18" s="322"/>
      <c r="P18" s="322"/>
      <c r="Q18" s="322"/>
      <c r="R18" s="322"/>
      <c r="S18" s="322"/>
      <c r="T18" s="322"/>
      <c r="U18" s="322"/>
    </row>
    <row r="19" spans="2:21" ht="27.75" customHeight="1">
      <c r="B19" s="288" t="str">
        <f>"Line 5c (sheet 22) Total "&amp;TEXT('KEY INPUTS'!D34,"0")&amp;" Tax Levy"</f>
        <v>Line 5c (sheet 22) Total 2019 Tax Levy</v>
      </c>
      <c r="J19" t="s">
        <v>482</v>
      </c>
      <c r="K19" s="663">
        <f>+'22-2019 Levy'!N19</f>
        <v>37627741.490000002</v>
      </c>
      <c r="N19" s="322"/>
      <c r="O19" s="322"/>
      <c r="P19" s="322"/>
      <c r="Q19" s="322"/>
      <c r="R19" s="322"/>
      <c r="S19" s="322"/>
      <c r="T19" s="322"/>
      <c r="U19" s="322"/>
    </row>
    <row r="20" spans="2:21">
      <c r="N20" s="322"/>
      <c r="O20" s="322"/>
      <c r="P20" s="322"/>
      <c r="Q20" s="322"/>
      <c r="R20" s="322"/>
      <c r="S20" s="322"/>
      <c r="T20" s="322"/>
      <c r="U20" s="322"/>
    </row>
    <row r="21" spans="2:21" ht="13.8">
      <c r="B21" s="93" t="s">
        <v>845</v>
      </c>
      <c r="N21" s="322"/>
      <c r="O21" s="322"/>
      <c r="P21" s="322"/>
      <c r="Q21" s="322"/>
      <c r="R21" s="322"/>
      <c r="S21" s="322"/>
      <c r="T21" s="322"/>
      <c r="U21" s="322"/>
    </row>
    <row r="22" spans="2:21" ht="13.8">
      <c r="B22" s="93" t="s">
        <v>846</v>
      </c>
      <c r="K22" s="770">
        <f>+K18/K19</f>
        <v>0.9918028332877229</v>
      </c>
    </row>
    <row r="28" spans="2:21">
      <c r="B28" s="30"/>
      <c r="C28" s="30"/>
      <c r="D28" s="30"/>
      <c r="E28" s="30"/>
      <c r="F28" s="30"/>
      <c r="G28" s="30"/>
      <c r="H28" s="30"/>
      <c r="I28" s="30"/>
      <c r="J28" s="30"/>
      <c r="K28" s="30"/>
    </row>
    <row r="29" spans="2:21" ht="3.75" customHeight="1" thickBot="1">
      <c r="B29" s="95"/>
      <c r="C29" s="95"/>
      <c r="D29" s="95"/>
      <c r="E29" s="95"/>
      <c r="F29" s="95"/>
      <c r="G29" s="95"/>
      <c r="H29" s="95"/>
      <c r="I29" s="95"/>
      <c r="J29" s="95"/>
      <c r="K29" s="95"/>
    </row>
    <row r="30" spans="2:21" ht="4.5" customHeight="1" thickTop="1">
      <c r="B30" s="96"/>
      <c r="C30" s="96"/>
      <c r="D30" s="96"/>
      <c r="E30" s="96"/>
      <c r="F30" s="96"/>
      <c r="G30" s="96"/>
      <c r="H30" s="96"/>
      <c r="I30" s="96"/>
      <c r="J30" s="96"/>
      <c r="K30" s="96"/>
    </row>
    <row r="34" spans="2:11" ht="13.8">
      <c r="B34" s="92" t="s">
        <v>848</v>
      </c>
    </row>
    <row r="36" spans="2:11">
      <c r="K36" s="286"/>
    </row>
    <row r="37" spans="2:11" ht="27.9" customHeight="1">
      <c r="B37" s="93" t="s">
        <v>843</v>
      </c>
      <c r="J37" t="s">
        <v>482</v>
      </c>
      <c r="K37" s="771">
        <f>+'22-2019 Levy'!L32</f>
        <v>37319300.620000005</v>
      </c>
    </row>
    <row r="38" spans="2:11" ht="27.9" customHeight="1">
      <c r="B38" s="94" t="s">
        <v>849</v>
      </c>
      <c r="K38" s="578"/>
    </row>
    <row r="39" spans="2:11" ht="27.9" customHeight="1">
      <c r="D39" s="92" t="s">
        <v>206</v>
      </c>
      <c r="J39" t="s">
        <v>482</v>
      </c>
      <c r="K39" s="980">
        <f>K37-K38</f>
        <v>37319300.620000005</v>
      </c>
    </row>
    <row r="40" spans="2:11" ht="27.9" customHeight="1">
      <c r="B40" s="93" t="str">
        <f>B19</f>
        <v>Line 5c (sheet 22) Total 2019 Tax Levy</v>
      </c>
      <c r="J40" t="s">
        <v>482</v>
      </c>
      <c r="K40" s="663">
        <f>+'22-2019 Levy'!N19</f>
        <v>37627741.490000002</v>
      </c>
    </row>
    <row r="41" spans="2:11" ht="13.8">
      <c r="B41" s="93"/>
    </row>
    <row r="42" spans="2:11" ht="13.8">
      <c r="B42" s="93" t="s">
        <v>5</v>
      </c>
    </row>
    <row r="43" spans="2:11" ht="13.8">
      <c r="B43" s="93" t="s">
        <v>846</v>
      </c>
      <c r="K43" s="770">
        <f>IFERROR(K39/K40,"NO ENTRY")</f>
        <v>0.9918028332877229</v>
      </c>
    </row>
    <row r="61" spans="2:11" ht="13.8">
      <c r="B61" s="1507" t="s">
        <v>847</v>
      </c>
      <c r="C61" s="1507"/>
      <c r="D61" s="1507"/>
      <c r="E61" s="1507"/>
      <c r="F61" s="1507"/>
      <c r="G61" s="1507"/>
      <c r="H61" s="1507"/>
      <c r="I61" s="1507"/>
      <c r="J61" s="1507"/>
      <c r="K61" s="1507"/>
    </row>
  </sheetData>
  <sheetProtection algorithmName="SHA-512" hashValue="ypp42D/aH2afD7CDFrlJb2cmxn74MlrAaZv6HovBbW1EGmG1BIVXPFW1tTQ9h54cPErKN24EYHxx1QA9EGuNDw==" saltValue="UsFHFsgo0MMDQWDisl7+iA=="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topLeftCell="A4">
      <selection activeCell="B1" sqref="B1"/>
      <pageMargins left="0.25" right="0.25" top="0.5" bottom="0.5" header="0.25" footer="0.25"/>
      <pageSetup paperSize="5" orientation="portrait" r:id="rId2"/>
      <headerFooter alignWithMargins="0"/>
    </customSheetView>
    <customSheetView guid="{A64E4C9E-A3DA-4AAA-8607-F524450B9436}" topLeftCell="A4">
      <selection activeCell="B1" sqref="B1"/>
      <pageMargins left="0.25" right="0.25" top="0.5" bottom="0.5" header="0.25" footer="0.25"/>
      <pageSetup paperSize="5" orientation="portrait" r:id="rId3"/>
      <headerFooter alignWithMargins="0"/>
    </customSheetView>
    <customSheetView guid="{AB4FBD91-4533-473A-9702-569FF6402073}" topLeftCell="A4">
      <selection activeCell="B1" sqref="B1"/>
      <pageMargins left="0.25" right="0.25" top="0.5" bottom="0.5" header="0.25" footer="0.25"/>
      <pageSetup paperSize="5" orientation="portrait" r:id="rId4"/>
      <headerFooter alignWithMargins="0"/>
    </customSheetView>
  </customSheetViews>
  <mergeCells count="5">
    <mergeCell ref="B61:K61"/>
    <mergeCell ref="B4:K4"/>
    <mergeCell ref="B6:K6"/>
    <mergeCell ref="B8:K8"/>
    <mergeCell ref="B9:K9"/>
  </mergeCells>
  <phoneticPr fontId="0" type="noConversion"/>
  <pageMargins left="0.25" right="0.25" top="0.5" bottom="0.5" header="0.25" footer="0.25"/>
  <pageSetup paperSize="5" orientation="portrait" r:id="rId5"/>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2">
    <pageSetUpPr fitToPage="1"/>
  </sheetPr>
  <dimension ref="B3:R54"/>
  <sheetViews>
    <sheetView topLeftCell="A46" workbookViewId="0">
      <selection activeCell="B3" sqref="B3:O3"/>
    </sheetView>
  </sheetViews>
  <sheetFormatPr defaultRowHeight="13.2"/>
  <cols>
    <col min="1" max="1" width="3.6640625" customWidth="1"/>
    <col min="2" max="4" width="4.6640625" customWidth="1"/>
    <col min="7" max="7" width="21.6640625" customWidth="1"/>
    <col min="9" max="10" width="16.6640625" customWidth="1"/>
    <col min="11" max="11" width="10.88671875" bestFit="1" customWidth="1"/>
  </cols>
  <sheetData>
    <row r="3" spans="2:18" ht="21">
      <c r="B3" s="1508" t="s">
        <v>6</v>
      </c>
      <c r="C3" s="1508"/>
      <c r="D3" s="1508"/>
      <c r="E3" s="1508"/>
      <c r="F3" s="1508"/>
      <c r="G3" s="1508"/>
      <c r="H3" s="1508"/>
      <c r="I3" s="1508"/>
      <c r="J3" s="1508"/>
      <c r="K3" s="709"/>
    </row>
    <row r="4" spans="2:18" ht="21">
      <c r="B4" s="1508" t="s">
        <v>7</v>
      </c>
      <c r="C4" s="1508"/>
      <c r="D4" s="1508"/>
      <c r="E4" s="1508"/>
      <c r="F4" s="1508"/>
      <c r="G4" s="1508"/>
      <c r="H4" s="1508"/>
      <c r="I4" s="1508"/>
      <c r="J4" s="1508"/>
      <c r="K4" s="709"/>
    </row>
    <row r="5" spans="2:18" ht="13.8" thickBot="1"/>
    <row r="6" spans="2:18" ht="26.1" customHeight="1" thickTop="1" thickBot="1">
      <c r="B6" s="61"/>
      <c r="C6" s="61"/>
      <c r="D6" s="61"/>
      <c r="E6" s="61"/>
      <c r="F6" s="61"/>
      <c r="G6" s="61"/>
      <c r="H6" s="61"/>
      <c r="I6" s="4" t="s">
        <v>125</v>
      </c>
      <c r="J6" s="3" t="s">
        <v>126</v>
      </c>
    </row>
    <row r="7" spans="2:18" ht="21" customHeight="1" thickTop="1">
      <c r="B7" s="86" t="s">
        <v>384</v>
      </c>
      <c r="C7" s="283" t="str">
        <f>'KEY INPUTS'!D25</f>
        <v>Balance - January 1, 2019</v>
      </c>
      <c r="D7" s="283"/>
      <c r="E7" s="283"/>
      <c r="F7" s="283"/>
      <c r="G7" s="283"/>
      <c r="H7" s="23"/>
      <c r="I7" s="145" t="s">
        <v>787</v>
      </c>
      <c r="J7" s="198" t="s">
        <v>787</v>
      </c>
    </row>
    <row r="8" spans="2:18" ht="21" customHeight="1">
      <c r="B8" s="87"/>
      <c r="C8" s="323"/>
      <c r="D8" s="323" t="s">
        <v>352</v>
      </c>
      <c r="E8" s="323"/>
      <c r="F8" s="323"/>
      <c r="G8" s="323"/>
      <c r="H8" s="24"/>
      <c r="I8" s="374">
        <v>4141.79</v>
      </c>
      <c r="J8" s="998" t="s">
        <v>787</v>
      </c>
      <c r="K8" s="312"/>
    </row>
    <row r="9" spans="2:18" ht="21" customHeight="1">
      <c r="B9" s="87"/>
      <c r="C9" s="323"/>
      <c r="D9" s="323" t="s">
        <v>353</v>
      </c>
      <c r="E9" s="323"/>
      <c r="F9" s="323"/>
      <c r="G9" s="323"/>
      <c r="H9" s="24"/>
      <c r="I9" s="146" t="s">
        <v>787</v>
      </c>
      <c r="J9" s="582"/>
    </row>
    <row r="10" spans="2:18" ht="21" customHeight="1">
      <c r="B10" s="87" t="s">
        <v>385</v>
      </c>
      <c r="C10" s="323" t="s">
        <v>898</v>
      </c>
      <c r="D10" s="323"/>
      <c r="E10" s="323"/>
      <c r="F10" s="323"/>
      <c r="G10" s="323"/>
      <c r="H10" s="24"/>
      <c r="I10" s="374">
        <v>2000</v>
      </c>
      <c r="J10" s="998" t="s">
        <v>787</v>
      </c>
      <c r="L10" s="322"/>
      <c r="M10" s="322"/>
      <c r="N10" s="322"/>
      <c r="O10" s="322"/>
      <c r="P10" s="322"/>
      <c r="Q10" s="322"/>
      <c r="R10" s="322"/>
    </row>
    <row r="11" spans="2:18" ht="21" customHeight="1">
      <c r="B11" s="87" t="s">
        <v>386</v>
      </c>
      <c r="C11" s="323" t="s">
        <v>899</v>
      </c>
      <c r="D11" s="323"/>
      <c r="E11" s="323"/>
      <c r="F11" s="323"/>
      <c r="G11" s="323"/>
      <c r="H11" s="24"/>
      <c r="I11" s="374">
        <v>24000</v>
      </c>
      <c r="J11" s="998" t="s">
        <v>787</v>
      </c>
      <c r="K11" s="312"/>
      <c r="L11" s="377"/>
      <c r="M11" s="322"/>
      <c r="N11" s="322"/>
      <c r="O11" s="322"/>
      <c r="P11" s="322"/>
      <c r="Q11" s="322"/>
      <c r="R11" s="322"/>
    </row>
    <row r="12" spans="2:18" ht="21" customHeight="1">
      <c r="B12" s="87" t="s">
        <v>387</v>
      </c>
      <c r="C12" s="326" t="s">
        <v>3679</v>
      </c>
      <c r="D12" s="323"/>
      <c r="E12" s="323"/>
      <c r="F12" s="323"/>
      <c r="G12" s="323"/>
      <c r="H12" s="24"/>
      <c r="I12" s="374"/>
      <c r="J12" s="998" t="s">
        <v>787</v>
      </c>
      <c r="L12" s="322"/>
      <c r="M12" s="322"/>
      <c r="N12" s="322"/>
      <c r="O12" s="322"/>
      <c r="P12" s="322"/>
      <c r="Q12" s="322"/>
      <c r="R12" s="322"/>
    </row>
    <row r="13" spans="2:18" ht="21" customHeight="1">
      <c r="B13" s="87" t="s">
        <v>388</v>
      </c>
      <c r="C13" s="323" t="str">
        <f>"Deductions Allowed By Tax Collector "&amp;TEXT('KEY INPUTS'!D35,"0")&amp;" Taxes"</f>
        <v>Deductions Allowed By Tax Collector 2018 Taxes</v>
      </c>
      <c r="D13" s="323"/>
      <c r="E13" s="323"/>
      <c r="F13" s="323"/>
      <c r="G13" s="323"/>
      <c r="H13" s="24"/>
      <c r="I13" s="374">
        <v>250</v>
      </c>
      <c r="J13" s="582"/>
      <c r="K13" s="312"/>
      <c r="L13" s="322"/>
      <c r="M13" s="322"/>
      <c r="N13" s="322"/>
      <c r="O13" s="322"/>
      <c r="P13" s="322"/>
      <c r="Q13" s="322"/>
      <c r="R13" s="322"/>
    </row>
    <row r="14" spans="2:18" ht="21" customHeight="1">
      <c r="B14" s="87" t="s">
        <v>389</v>
      </c>
      <c r="C14" s="566"/>
      <c r="D14" s="566"/>
      <c r="E14" s="566"/>
      <c r="F14" s="566"/>
      <c r="G14" s="566"/>
      <c r="H14" s="572"/>
      <c r="I14" s="374"/>
      <c r="J14" s="582"/>
      <c r="L14" s="322"/>
      <c r="M14" s="322"/>
      <c r="N14" s="322"/>
      <c r="O14" s="322"/>
      <c r="P14" s="322"/>
      <c r="Q14" s="322"/>
      <c r="R14" s="322"/>
    </row>
    <row r="15" spans="2:18" ht="21" customHeight="1">
      <c r="B15" s="87" t="s">
        <v>390</v>
      </c>
      <c r="C15" s="326" t="s">
        <v>3681</v>
      </c>
      <c r="D15" s="5"/>
      <c r="E15" s="5"/>
      <c r="F15" s="5"/>
      <c r="G15" s="5"/>
      <c r="H15" s="24"/>
      <c r="I15" s="310" t="s">
        <v>787</v>
      </c>
      <c r="J15" s="582">
        <v>250</v>
      </c>
      <c r="L15" s="322"/>
      <c r="M15" s="322"/>
      <c r="N15" s="322"/>
      <c r="O15" s="322"/>
      <c r="P15" s="322"/>
      <c r="Q15" s="322"/>
      <c r="R15" s="322"/>
    </row>
    <row r="16" spans="2:18" ht="21" customHeight="1">
      <c r="B16" s="87" t="s">
        <v>501</v>
      </c>
      <c r="C16" s="303" t="s">
        <v>3680</v>
      </c>
      <c r="D16" s="5"/>
      <c r="E16" s="5"/>
      <c r="F16" s="5"/>
      <c r="G16" s="5"/>
      <c r="H16" s="24"/>
      <c r="I16" s="146" t="s">
        <v>787</v>
      </c>
      <c r="J16" s="582">
        <v>250</v>
      </c>
      <c r="L16" s="322"/>
      <c r="M16" s="322"/>
      <c r="N16" s="322"/>
      <c r="O16" s="322"/>
      <c r="P16" s="322"/>
      <c r="Q16" s="322"/>
      <c r="R16" s="322"/>
    </row>
    <row r="17" spans="2:18" ht="21" customHeight="1">
      <c r="B17" s="87" t="s">
        <v>502</v>
      </c>
      <c r="C17" s="5" t="s">
        <v>576</v>
      </c>
      <c r="D17" s="5"/>
      <c r="E17" s="5"/>
      <c r="F17" s="5"/>
      <c r="G17" s="5"/>
      <c r="H17" s="24"/>
      <c r="I17" s="146" t="s">
        <v>787</v>
      </c>
      <c r="J17" s="582">
        <v>25750</v>
      </c>
      <c r="L17" s="322"/>
      <c r="M17" s="322"/>
      <c r="N17" s="322"/>
      <c r="O17" s="322"/>
      <c r="P17" s="322"/>
      <c r="Q17" s="322"/>
      <c r="R17" s="322"/>
    </row>
    <row r="18" spans="2:18" ht="21" customHeight="1">
      <c r="B18" s="87" t="s">
        <v>503</v>
      </c>
      <c r="C18" s="566"/>
      <c r="D18" s="566"/>
      <c r="E18" s="566"/>
      <c r="F18" s="566"/>
      <c r="G18" s="566"/>
      <c r="H18" s="572"/>
      <c r="I18" s="374"/>
      <c r="J18" s="582"/>
      <c r="L18" s="322"/>
      <c r="M18" s="322"/>
      <c r="N18" s="322"/>
      <c r="O18" s="322"/>
      <c r="P18" s="322"/>
      <c r="Q18" s="322"/>
      <c r="R18" s="322"/>
    </row>
    <row r="19" spans="2:18" ht="21" customHeight="1">
      <c r="B19" s="87" t="s">
        <v>288</v>
      </c>
      <c r="C19" s="566"/>
      <c r="D19" s="566"/>
      <c r="E19" s="566"/>
      <c r="F19" s="566"/>
      <c r="G19" s="566"/>
      <c r="H19" s="572"/>
      <c r="I19" s="374"/>
      <c r="J19" s="582"/>
      <c r="L19" s="322"/>
      <c r="M19" s="322"/>
      <c r="N19" s="322"/>
      <c r="O19" s="322"/>
      <c r="P19" s="322"/>
      <c r="Q19" s="322"/>
      <c r="R19" s="322"/>
    </row>
    <row r="20" spans="2:18" ht="21" customHeight="1">
      <c r="B20" s="981" t="s">
        <v>290</v>
      </c>
      <c r="C20" s="383" t="str">
        <f>'KEY INPUTS'!D26</f>
        <v>Balance - December 31, 2019</v>
      </c>
      <c r="D20" s="383"/>
      <c r="E20" s="383"/>
      <c r="F20" s="383"/>
      <c r="G20" s="383"/>
      <c r="H20" s="384"/>
      <c r="I20" s="973" t="s">
        <v>787</v>
      </c>
      <c r="J20" s="982" t="s">
        <v>787</v>
      </c>
      <c r="K20" s="712">
        <f>SUM(I7:I20)-SUM(J7:J20)</f>
        <v>4141.7900000000009</v>
      </c>
      <c r="L20" s="710" t="s">
        <v>3645</v>
      </c>
      <c r="M20" s="322"/>
      <c r="N20" s="322"/>
      <c r="O20" s="322"/>
      <c r="P20" s="322"/>
      <c r="Q20" s="322"/>
      <c r="R20" s="322"/>
    </row>
    <row r="21" spans="2:18" ht="21" customHeight="1">
      <c r="B21" s="981"/>
      <c r="C21" s="383"/>
      <c r="D21" s="383" t="s">
        <v>352</v>
      </c>
      <c r="E21" s="383"/>
      <c r="F21" s="383"/>
      <c r="G21" s="383"/>
      <c r="H21" s="384"/>
      <c r="I21" s="973" t="s">
        <v>787</v>
      </c>
      <c r="J21" s="983">
        <f>IF(K20&gt;0,K20,0)</f>
        <v>4141.7900000000009</v>
      </c>
      <c r="K21" s="715"/>
      <c r="L21" s="322"/>
      <c r="M21" s="322"/>
      <c r="N21" s="322"/>
      <c r="O21" s="322"/>
      <c r="P21" s="322"/>
      <c r="Q21" s="322"/>
      <c r="R21" s="322"/>
    </row>
    <row r="22" spans="2:18" ht="21" customHeight="1">
      <c r="B22" s="981"/>
      <c r="C22" s="383"/>
      <c r="D22" s="383" t="s">
        <v>353</v>
      </c>
      <c r="E22" s="383"/>
      <c r="F22" s="383"/>
      <c r="G22" s="383"/>
      <c r="H22" s="384"/>
      <c r="I22" s="975">
        <f>IF(K20&gt;0,0,K20)*-1</f>
        <v>0</v>
      </c>
      <c r="J22" s="982" t="s">
        <v>787</v>
      </c>
      <c r="K22" s="385"/>
      <c r="L22" s="322"/>
      <c r="M22" s="322"/>
      <c r="N22" s="322"/>
      <c r="O22" s="322"/>
      <c r="P22" s="322"/>
      <c r="Q22" s="322"/>
      <c r="R22" s="322"/>
    </row>
    <row r="23" spans="2:18" ht="21" customHeight="1" thickBot="1">
      <c r="B23" s="984"/>
      <c r="C23" s="853"/>
      <c r="D23" s="853"/>
      <c r="E23" s="853"/>
      <c r="F23" s="853"/>
      <c r="G23" s="853"/>
      <c r="H23" s="853"/>
      <c r="I23" s="861">
        <f>SUM(I7:I22)</f>
        <v>30391.79</v>
      </c>
      <c r="J23" s="985">
        <f>SUM(J7:J22)</f>
        <v>30391.79</v>
      </c>
      <c r="L23" s="322"/>
      <c r="M23" s="322"/>
      <c r="N23" s="322"/>
      <c r="O23" s="322"/>
      <c r="P23" s="322"/>
      <c r="Q23" s="322"/>
      <c r="R23" s="322"/>
    </row>
    <row r="24" spans="2:18" ht="13.8" thickTop="1">
      <c r="B24" s="85"/>
      <c r="L24" s="322"/>
      <c r="M24" s="322"/>
      <c r="N24" s="322"/>
      <c r="O24" s="322"/>
      <c r="P24" s="322"/>
      <c r="Q24" s="322"/>
      <c r="R24" s="322"/>
    </row>
    <row r="25" spans="2:18">
      <c r="B25" s="85"/>
      <c r="J25" s="228"/>
    </row>
    <row r="26" spans="2:18">
      <c r="B26" s="85"/>
    </row>
    <row r="27" spans="2:18">
      <c r="B27" s="85"/>
    </row>
    <row r="28" spans="2:18">
      <c r="B28" s="85"/>
    </row>
    <row r="29" spans="2:18">
      <c r="B29" s="97" t="s">
        <v>8</v>
      </c>
    </row>
    <row r="30" spans="2:18">
      <c r="B30" s="295" t="str">
        <f>TEXT('KEY INPUTS'!D34,"0")&amp;" Senior Citizens and Veterans Deductions Allowed"</f>
        <v>2019 Senior Citizens and Veterans Deductions Allowed</v>
      </c>
    </row>
    <row r="31" spans="2:18">
      <c r="B31" s="85"/>
      <c r="G31" s="42"/>
    </row>
    <row r="32" spans="2:18" ht="21" customHeight="1">
      <c r="B32" s="97" t="s">
        <v>10</v>
      </c>
      <c r="G32" s="67">
        <f>+I10</f>
        <v>2000</v>
      </c>
    </row>
    <row r="33" spans="2:7" ht="21" customHeight="1">
      <c r="B33" s="97" t="s">
        <v>11</v>
      </c>
      <c r="G33" s="69">
        <f>+I11</f>
        <v>24000</v>
      </c>
    </row>
    <row r="34" spans="2:7" ht="21" customHeight="1" thickBot="1">
      <c r="B34" s="98" t="s">
        <v>12</v>
      </c>
      <c r="G34" s="213">
        <f>+I12</f>
        <v>0</v>
      </c>
    </row>
    <row r="35" spans="2:7" ht="21" customHeight="1">
      <c r="B35" s="98" t="s">
        <v>13</v>
      </c>
      <c r="G35" s="67">
        <f>SUM(G32:G34)</f>
        <v>26000</v>
      </c>
    </row>
    <row r="36" spans="2:7" ht="21" customHeight="1" thickBot="1">
      <c r="B36" s="98" t="s">
        <v>14</v>
      </c>
      <c r="G36" s="213">
        <f>+J15</f>
        <v>250</v>
      </c>
    </row>
    <row r="37" spans="2:7" ht="21" customHeight="1" thickBot="1">
      <c r="B37" s="98" t="s">
        <v>15</v>
      </c>
      <c r="G37" s="84">
        <f>+G35-G36</f>
        <v>25750</v>
      </c>
    </row>
    <row r="38" spans="2:7" ht="13.8" thickTop="1"/>
    <row r="54" spans="2:10" ht="13.8">
      <c r="B54" s="1507" t="s">
        <v>9</v>
      </c>
      <c r="C54" s="1507"/>
      <c r="D54" s="1507"/>
      <c r="E54" s="1507"/>
      <c r="F54" s="1507"/>
      <c r="G54" s="1507"/>
      <c r="H54" s="1507"/>
      <c r="I54" s="1507"/>
      <c r="J54" s="1507"/>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topLeftCell="A4">
      <selection activeCell="M22" sqref="M22"/>
      <pageMargins left="0.25" right="0.25" top="0.5" bottom="0.5" header="0.25" footer="0.25"/>
      <pageSetup paperSize="5" orientation="portrait" r:id="rId2"/>
      <headerFooter alignWithMargins="0"/>
    </customSheetView>
    <customSheetView guid="{A64E4C9E-A3DA-4AAA-8607-F524450B9436}" topLeftCell="A4">
      <selection activeCell="J10" sqref="J10"/>
      <pageMargins left="0.25" right="0.25" top="0.5" bottom="0.5" header="0.25" footer="0.25"/>
      <pageSetup paperSize="5" orientation="portrait" r:id="rId3"/>
      <headerFooter alignWithMargins="0"/>
    </customSheetView>
    <customSheetView guid="{AB4FBD91-4533-473A-9702-569FF6402073}" topLeftCell="A4">
      <selection activeCell="J10" sqref="J10"/>
      <pageMargins left="0.25" right="0.25" top="0.5" bottom="0.5" header="0.25" footer="0.25"/>
      <pageSetup paperSize="5" orientation="portrait" r:id="rId4"/>
      <headerFooter alignWithMargins="0"/>
    </customSheetView>
  </customSheetViews>
  <mergeCells count="3">
    <mergeCell ref="B3:J3"/>
    <mergeCell ref="B4:J4"/>
    <mergeCell ref="B54:J54"/>
  </mergeCells>
  <phoneticPr fontId="0" type="noConversion"/>
  <pageMargins left="0.25" right="0.25" top="0.5" bottom="0.5" header="0.25" footer="0.25"/>
  <pageSetup paperSize="5" orientation="portrait" r:id="rId5"/>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3">
    <pageSetUpPr fitToPage="1"/>
  </sheetPr>
  <dimension ref="B3:S60"/>
  <sheetViews>
    <sheetView topLeftCell="A7" workbookViewId="0">
      <selection activeCell="K17" sqref="K17"/>
    </sheetView>
  </sheetViews>
  <sheetFormatPr defaultRowHeight="13.2"/>
  <cols>
    <col min="1" max="1" width="3.6640625" customWidth="1"/>
    <col min="2" max="4" width="4.6640625" customWidth="1"/>
    <col min="5" max="5" width="5.6640625" customWidth="1"/>
    <col min="7" max="7" width="15.88671875" customWidth="1"/>
    <col min="8" max="8" width="14.6640625" customWidth="1"/>
    <col min="9" max="10" width="16.6640625" customWidth="1"/>
  </cols>
  <sheetData>
    <row r="3" spans="2:19" ht="20.399999999999999">
      <c r="B3" s="1508" t="s">
        <v>21</v>
      </c>
      <c r="C3" s="1508"/>
      <c r="D3" s="1508"/>
      <c r="E3" s="1508"/>
      <c r="F3" s="1508"/>
      <c r="G3" s="1508"/>
      <c r="H3" s="1508"/>
      <c r="I3" s="1508"/>
      <c r="J3" s="1508"/>
    </row>
    <row r="4" spans="2:19" ht="20.399999999999999">
      <c r="B4" s="1508" t="s">
        <v>20</v>
      </c>
      <c r="C4" s="1508"/>
      <c r="D4" s="1508"/>
      <c r="E4" s="1508"/>
      <c r="F4" s="1508"/>
      <c r="G4" s="1508"/>
      <c r="H4" s="1508"/>
      <c r="I4" s="1508"/>
      <c r="J4" s="1508"/>
    </row>
    <row r="5" spans="2:19" ht="13.8" thickBot="1"/>
    <row r="6" spans="2:19" ht="27.9" customHeight="1" thickTop="1" thickBot="1">
      <c r="B6" s="1044"/>
      <c r="C6" s="1044"/>
      <c r="D6" s="1044"/>
      <c r="E6" s="1044"/>
      <c r="F6" s="1044"/>
      <c r="G6" s="1044"/>
      <c r="H6" s="1044"/>
      <c r="I6" s="967" t="s">
        <v>125</v>
      </c>
      <c r="J6" s="1042" t="s">
        <v>126</v>
      </c>
    </row>
    <row r="7" spans="2:19" ht="21" customHeight="1" thickTop="1">
      <c r="B7" s="381" t="str">
        <f>'KEY INPUTS'!D25</f>
        <v>Balance - January 1, 2019</v>
      </c>
      <c r="C7" s="381"/>
      <c r="D7" s="381"/>
      <c r="E7" s="381"/>
      <c r="F7" s="381"/>
      <c r="G7" s="381"/>
      <c r="H7" s="382"/>
      <c r="I7" s="1043" t="s">
        <v>857</v>
      </c>
      <c r="J7" s="1045">
        <f>H8+H9</f>
        <v>67848.91</v>
      </c>
    </row>
    <row r="8" spans="2:19" ht="21" customHeight="1">
      <c r="B8" s="383"/>
      <c r="C8" s="383" t="s">
        <v>579</v>
      </c>
      <c r="D8" s="383"/>
      <c r="E8" s="383"/>
      <c r="F8" s="383"/>
      <c r="G8" s="383"/>
      <c r="H8" s="374">
        <v>67848.91</v>
      </c>
      <c r="I8" s="1038" t="s">
        <v>857</v>
      </c>
      <c r="J8" s="1037" t="s">
        <v>787</v>
      </c>
    </row>
    <row r="9" spans="2:19" ht="21" customHeight="1">
      <c r="B9" s="383"/>
      <c r="C9" s="383" t="s">
        <v>580</v>
      </c>
      <c r="D9" s="383"/>
      <c r="E9" s="383"/>
      <c r="F9" s="383"/>
      <c r="G9" s="383"/>
      <c r="H9" s="374"/>
      <c r="I9" s="1038" t="s">
        <v>857</v>
      </c>
      <c r="J9" s="1037" t="s">
        <v>787</v>
      </c>
      <c r="M9" s="322"/>
      <c r="N9" s="322"/>
      <c r="O9" s="322"/>
      <c r="P9" s="322"/>
      <c r="Q9" s="322"/>
      <c r="R9" s="322"/>
      <c r="S9" s="322"/>
    </row>
    <row r="10" spans="2:19" ht="24.75" customHeight="1">
      <c r="B10" s="1632" t="str">
        <f>"Contested Amount of "&amp;TEXT('KEY INPUTS'!D34,"0")&amp;" Taxes Collected which are Pending State Appeal (Item 14, Sheet 22)"</f>
        <v>Contested Amount of 2019 Taxes Collected which are Pending State Appeal (Item 14, Sheet 22)</v>
      </c>
      <c r="C10" s="1632"/>
      <c r="D10" s="1632"/>
      <c r="E10" s="1632"/>
      <c r="F10" s="1632"/>
      <c r="G10" s="1632"/>
      <c r="H10" s="384"/>
      <c r="I10" s="1038" t="s">
        <v>857</v>
      </c>
      <c r="J10" s="582"/>
      <c r="M10" s="322"/>
      <c r="N10" s="322"/>
      <c r="O10" s="322"/>
      <c r="P10" s="322"/>
      <c r="Q10" s="322"/>
      <c r="R10" s="322"/>
      <c r="S10" s="322"/>
    </row>
    <row r="11" spans="2:19" ht="21" customHeight="1">
      <c r="B11" s="383" t="s">
        <v>581</v>
      </c>
      <c r="C11" s="383"/>
      <c r="D11" s="383"/>
      <c r="E11" s="383"/>
      <c r="F11" s="383"/>
      <c r="G11" s="383"/>
      <c r="H11" s="384"/>
      <c r="I11" s="1038" t="s">
        <v>857</v>
      </c>
      <c r="J11" s="582"/>
      <c r="M11" s="377"/>
      <c r="N11" s="322"/>
      <c r="O11" s="322"/>
      <c r="P11" s="322"/>
      <c r="Q11" s="322"/>
      <c r="R11" s="322"/>
      <c r="S11" s="322"/>
    </row>
    <row r="12" spans="2:19" ht="21" customHeight="1">
      <c r="B12" s="566"/>
      <c r="C12" s="566"/>
      <c r="D12" s="566"/>
      <c r="E12" s="566"/>
      <c r="F12" s="566"/>
      <c r="G12" s="566"/>
      <c r="H12" s="572"/>
      <c r="I12" s="374"/>
      <c r="J12" s="582"/>
      <c r="M12" s="322"/>
      <c r="N12" s="322"/>
      <c r="O12" s="322"/>
      <c r="P12" s="322"/>
      <c r="Q12" s="322"/>
      <c r="R12" s="322"/>
      <c r="S12" s="322"/>
    </row>
    <row r="13" spans="2:19" ht="21" customHeight="1">
      <c r="B13" s="5" t="s">
        <v>102</v>
      </c>
      <c r="C13" s="5"/>
      <c r="D13" s="5"/>
      <c r="E13" s="5"/>
      <c r="F13" s="5"/>
      <c r="G13" s="5"/>
      <c r="H13" s="24"/>
      <c r="I13" s="374">
        <v>8603.69</v>
      </c>
      <c r="J13" s="1037" t="s">
        <v>787</v>
      </c>
      <c r="M13" s="322"/>
      <c r="N13" s="322"/>
      <c r="O13" s="322"/>
      <c r="P13" s="322"/>
      <c r="Q13" s="322"/>
      <c r="R13" s="322"/>
      <c r="S13" s="322"/>
    </row>
    <row r="14" spans="2:19" ht="11.25" customHeight="1">
      <c r="B14" s="7" t="s">
        <v>582</v>
      </c>
      <c r="C14" s="7"/>
      <c r="D14" s="7"/>
      <c r="E14" s="7"/>
      <c r="F14" s="7"/>
      <c r="G14" s="7"/>
      <c r="H14" s="83"/>
      <c r="I14" s="1041"/>
      <c r="J14" s="1039"/>
      <c r="M14" s="322"/>
      <c r="N14" s="322"/>
      <c r="O14" s="322"/>
      <c r="P14" s="322"/>
      <c r="Q14" s="322"/>
      <c r="R14" s="322"/>
      <c r="S14" s="322"/>
    </row>
    <row r="15" spans="2:19" ht="12.75" customHeight="1">
      <c r="B15" s="30" t="s">
        <v>583</v>
      </c>
      <c r="C15" s="30"/>
      <c r="D15" s="30"/>
      <c r="E15" s="30"/>
      <c r="F15" s="30"/>
      <c r="G15" s="30"/>
      <c r="H15" s="102"/>
      <c r="I15" s="374"/>
      <c r="J15" s="1040" t="s">
        <v>787</v>
      </c>
      <c r="M15" s="322"/>
      <c r="N15" s="322"/>
      <c r="O15" s="322"/>
      <c r="P15" s="322"/>
      <c r="Q15" s="322"/>
      <c r="R15" s="322"/>
      <c r="S15" s="322"/>
    </row>
    <row r="16" spans="2:19" ht="21" customHeight="1">
      <c r="B16" s="566"/>
      <c r="C16" s="566"/>
      <c r="D16" s="566"/>
      <c r="E16" s="566"/>
      <c r="F16" s="566"/>
      <c r="G16" s="566"/>
      <c r="H16" s="572"/>
      <c r="I16" s="374"/>
      <c r="J16" s="582"/>
      <c r="M16" s="322"/>
      <c r="N16" s="322"/>
      <c r="O16" s="322"/>
      <c r="P16" s="322"/>
      <c r="Q16" s="322"/>
      <c r="R16" s="322"/>
      <c r="S16" s="322"/>
    </row>
    <row r="17" spans="2:19" ht="21" customHeight="1">
      <c r="B17" s="383" t="str">
        <f>'KEY INPUTS'!D26</f>
        <v>Balance - December 31, 2019</v>
      </c>
      <c r="C17" s="383"/>
      <c r="D17" s="383"/>
      <c r="E17" s="383"/>
      <c r="F17" s="383"/>
      <c r="G17" s="383"/>
      <c r="H17" s="384"/>
      <c r="I17" s="975">
        <f>H18+H19</f>
        <v>59245.22</v>
      </c>
      <c r="J17" s="1037" t="s">
        <v>787</v>
      </c>
      <c r="M17" s="322"/>
      <c r="N17" s="322"/>
      <c r="O17" s="322"/>
      <c r="P17" s="322"/>
      <c r="Q17" s="322"/>
      <c r="R17" s="322"/>
      <c r="S17" s="322"/>
    </row>
    <row r="18" spans="2:19" ht="21" customHeight="1">
      <c r="B18" s="383"/>
      <c r="C18" s="383" t="s">
        <v>584</v>
      </c>
      <c r="D18" s="383"/>
      <c r="E18" s="383"/>
      <c r="F18" s="383"/>
      <c r="G18" s="383"/>
      <c r="H18" s="374">
        <v>59245.22</v>
      </c>
      <c r="I18" s="1038" t="s">
        <v>787</v>
      </c>
      <c r="J18" s="1037" t="s">
        <v>787</v>
      </c>
      <c r="M18" s="322"/>
      <c r="N18" s="322"/>
      <c r="O18" s="322"/>
      <c r="P18" s="322"/>
      <c r="Q18" s="322"/>
      <c r="R18" s="322"/>
      <c r="S18" s="322"/>
    </row>
    <row r="19" spans="2:19" ht="21" customHeight="1">
      <c r="B19" s="383"/>
      <c r="C19" s="383" t="s">
        <v>580</v>
      </c>
      <c r="D19" s="383"/>
      <c r="E19" s="383"/>
      <c r="F19" s="383"/>
      <c r="G19" s="383"/>
      <c r="H19" s="374"/>
      <c r="I19" s="1038" t="s">
        <v>787</v>
      </c>
      <c r="J19" s="1037" t="s">
        <v>787</v>
      </c>
      <c r="M19" s="322"/>
      <c r="N19" s="322"/>
      <c r="O19" s="322"/>
      <c r="P19" s="322"/>
      <c r="Q19" s="322"/>
      <c r="R19" s="322"/>
      <c r="S19" s="322"/>
    </row>
    <row r="20" spans="2:19" ht="21" customHeight="1" thickBot="1">
      <c r="B20" t="s">
        <v>585</v>
      </c>
      <c r="I20" s="861">
        <f>SUM(I7:I19)</f>
        <v>67848.91</v>
      </c>
      <c r="J20" s="985">
        <f>SUM(J7:J19)</f>
        <v>67848.91</v>
      </c>
      <c r="M20" s="322"/>
      <c r="N20" s="322"/>
      <c r="O20" s="322"/>
      <c r="P20" s="322"/>
      <c r="Q20" s="322"/>
      <c r="R20" s="322"/>
      <c r="S20" s="322"/>
    </row>
    <row r="21" spans="2:19" ht="13.8" thickTop="1">
      <c r="B21" s="280" t="str">
        <f>"   Appeals Not Adjusted by December 31, "&amp;TEXT('KEY INPUTS'!D34,"0")</f>
        <v xml:space="preserve">   Appeals Not Adjusted by December 31, 2019</v>
      </c>
      <c r="M21" s="322"/>
      <c r="N21" s="322"/>
      <c r="O21" s="322"/>
      <c r="P21" s="322"/>
      <c r="Q21" s="322"/>
      <c r="R21" s="322"/>
      <c r="S21" s="322"/>
    </row>
    <row r="22" spans="2:19">
      <c r="M22" s="322"/>
      <c r="N22" s="322"/>
      <c r="O22" s="322"/>
      <c r="P22" s="322"/>
      <c r="Q22" s="322"/>
      <c r="R22" s="322"/>
      <c r="S22" s="322"/>
    </row>
    <row r="23" spans="2:19">
      <c r="M23" s="322"/>
      <c r="N23" s="322"/>
      <c r="O23" s="322"/>
      <c r="P23" s="322"/>
      <c r="Q23" s="322"/>
      <c r="R23" s="322"/>
      <c r="S23" s="322"/>
    </row>
    <row r="24" spans="2:19">
      <c r="M24" s="322"/>
      <c r="N24" s="322"/>
      <c r="O24" s="322"/>
      <c r="P24" s="322"/>
      <c r="Q24" s="322"/>
      <c r="R24" s="322"/>
      <c r="S24" s="322"/>
    </row>
    <row r="25" spans="2:19">
      <c r="C25" s="1533" t="s">
        <v>3952</v>
      </c>
      <c r="D25" s="1533"/>
      <c r="E25" s="1533"/>
      <c r="F25" s="1533"/>
      <c r="G25" s="1533"/>
    </row>
    <row r="26" spans="2:19">
      <c r="C26" s="1547" t="s">
        <v>16</v>
      </c>
      <c r="D26" s="1547"/>
      <c r="E26" s="1547"/>
      <c r="F26" s="1547"/>
      <c r="G26" s="1547"/>
    </row>
    <row r="29" spans="2:19">
      <c r="C29" s="1533" t="s">
        <v>3958</v>
      </c>
      <c r="D29" s="1533"/>
      <c r="E29" s="1533"/>
      <c r="G29" s="1506">
        <v>43925</v>
      </c>
    </row>
    <row r="30" spans="2:19">
      <c r="C30" s="1547" t="s">
        <v>17</v>
      </c>
      <c r="D30" s="1547"/>
      <c r="E30" s="1547"/>
      <c r="G30" s="1" t="s">
        <v>18</v>
      </c>
    </row>
    <row r="60" spans="2:10" ht="13.8">
      <c r="B60" s="1507" t="s">
        <v>19</v>
      </c>
      <c r="C60" s="1507"/>
      <c r="D60" s="1507"/>
      <c r="E60" s="1507"/>
      <c r="F60" s="1507"/>
      <c r="G60" s="1507"/>
      <c r="H60" s="1507"/>
      <c r="I60" s="1507"/>
      <c r="J60" s="1507"/>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Q26" sqref="Q26"/>
      <pageMargins left="0.25" right="0.25" top="0.5" bottom="0.5" header="0.25" footer="0.25"/>
      <pageSetup paperSize="5" orientation="portrait" r:id="rId3"/>
      <headerFooter alignWithMargins="0"/>
    </customSheetView>
    <customSheetView guid="{AB4FBD91-4533-473A-9702-569FF6402073}" topLeftCell="A4">
      <selection activeCell="I14" sqref="I14"/>
      <pageMargins left="0.25" right="0.25" top="0.5" bottom="0.5" header="0.25" footer="0.25"/>
      <pageSetup paperSize="5" orientation="portrait" r:id="rId4"/>
      <headerFooter alignWithMargins="0"/>
    </customSheetView>
  </customSheetViews>
  <mergeCells count="8">
    <mergeCell ref="B60:J60"/>
    <mergeCell ref="B3:J3"/>
    <mergeCell ref="B4:J4"/>
    <mergeCell ref="C26:G26"/>
    <mergeCell ref="C30:E30"/>
    <mergeCell ref="B10:G10"/>
    <mergeCell ref="C25:G25"/>
    <mergeCell ref="C29:E29"/>
  </mergeCells>
  <phoneticPr fontId="0" type="noConversion"/>
  <pageMargins left="0.25" right="0.25" top="0.5" bottom="0.5" header="0.25" footer="0.25"/>
  <pageSetup paperSize="5" orientation="portrait" r:id="rId5"/>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4">
    <pageSetUpPr fitToPage="1"/>
  </sheetPr>
  <dimension ref="B2:S80"/>
  <sheetViews>
    <sheetView topLeftCell="A40" zoomScaleNormal="100" workbookViewId="0">
      <selection activeCell="B3" sqref="B3:O3"/>
    </sheetView>
  </sheetViews>
  <sheetFormatPr defaultRowHeight="13.2"/>
  <cols>
    <col min="1" max="1" width="4.6640625" customWidth="1"/>
    <col min="2" max="2" width="3.5546875" customWidth="1"/>
    <col min="3" max="3" width="4.6640625" customWidth="1"/>
    <col min="4" max="4" width="2.6640625" customWidth="1"/>
    <col min="5" max="5" width="4.6640625" customWidth="1"/>
    <col min="6" max="6" width="7.44140625" customWidth="1"/>
    <col min="7" max="8" width="11.6640625" customWidth="1"/>
    <col min="9" max="9" width="14.6640625" customWidth="1"/>
    <col min="10" max="10" width="2.6640625" customWidth="1"/>
    <col min="11" max="11" width="14.6640625" customWidth="1"/>
    <col min="12" max="12" width="2.6640625" customWidth="1"/>
    <col min="13" max="13" width="14.6640625" customWidth="1"/>
    <col min="14" max="14" width="13.5546875" bestFit="1" customWidth="1"/>
    <col min="15" max="15" width="11.44140625" bestFit="1" customWidth="1"/>
    <col min="19" max="19" width="9.33203125" bestFit="1" customWidth="1"/>
  </cols>
  <sheetData>
    <row r="2" spans="2:15" ht="20.399999999999999">
      <c r="B2" s="1508" t="s">
        <v>66</v>
      </c>
      <c r="C2" s="1508"/>
      <c r="D2" s="1508"/>
      <c r="E2" s="1508"/>
      <c r="F2" s="1508"/>
      <c r="G2" s="1508"/>
      <c r="H2" s="1508"/>
      <c r="I2" s="1508"/>
      <c r="J2" s="1508"/>
      <c r="K2" s="1508"/>
      <c r="L2" s="1508"/>
      <c r="M2" s="1508"/>
      <c r="N2" s="710"/>
    </row>
    <row r="3" spans="2:15" ht="13.8" thickBot="1"/>
    <row r="4" spans="2:15" ht="33.9" customHeight="1" thickTop="1" thickBot="1">
      <c r="B4" s="61"/>
      <c r="C4" s="61"/>
      <c r="D4" s="61"/>
      <c r="E4" s="61"/>
      <c r="F4" s="61"/>
      <c r="G4" s="61"/>
      <c r="H4" s="61"/>
      <c r="I4" s="61"/>
      <c r="J4" s="1633" t="s">
        <v>125</v>
      </c>
      <c r="K4" s="1554"/>
      <c r="L4" s="1633" t="s">
        <v>126</v>
      </c>
      <c r="M4" s="1553"/>
    </row>
    <row r="5" spans="2:15" ht="21.9" customHeight="1" thickTop="1">
      <c r="B5" s="86" t="s">
        <v>384</v>
      </c>
      <c r="C5" s="283" t="str">
        <f>'KEY INPUTS'!D25</f>
        <v>Balance - January 1, 2019</v>
      </c>
      <c r="D5" s="283"/>
      <c r="E5" s="283"/>
      <c r="F5" s="283"/>
      <c r="G5" s="283"/>
      <c r="H5" s="283"/>
      <c r="I5" s="23"/>
      <c r="J5" s="64"/>
      <c r="K5" s="719">
        <f>I6+I7</f>
        <v>140578.17000000001</v>
      </c>
      <c r="L5" s="64"/>
      <c r="M5" s="126" t="s">
        <v>787</v>
      </c>
      <c r="O5" s="291"/>
    </row>
    <row r="6" spans="2:15" ht="21.9" customHeight="1">
      <c r="B6" s="87"/>
      <c r="C6" s="323"/>
      <c r="D6" s="323" t="s">
        <v>67</v>
      </c>
      <c r="E6" s="323" t="s">
        <v>68</v>
      </c>
      <c r="F6" s="323"/>
      <c r="G6" s="323"/>
      <c r="H6" s="49" t="s">
        <v>71</v>
      </c>
      <c r="I6" s="374">
        <v>140578.17000000001</v>
      </c>
      <c r="J6" s="69"/>
      <c r="K6" s="999" t="s">
        <v>787</v>
      </c>
      <c r="L6" s="69"/>
      <c r="M6" s="127" t="s">
        <v>787</v>
      </c>
      <c r="N6" s="228"/>
    </row>
    <row r="7" spans="2:15" ht="21.9" customHeight="1">
      <c r="B7" s="87"/>
      <c r="C7" s="323"/>
      <c r="D7" s="323" t="s">
        <v>69</v>
      </c>
      <c r="E7" s="323" t="s">
        <v>985</v>
      </c>
      <c r="F7" s="323"/>
      <c r="G7" s="323"/>
      <c r="H7" s="49" t="s">
        <v>54</v>
      </c>
      <c r="I7" s="374"/>
      <c r="J7" s="69"/>
      <c r="K7" s="999" t="s">
        <v>787</v>
      </c>
      <c r="L7" s="69"/>
      <c r="M7" s="127" t="s">
        <v>787</v>
      </c>
      <c r="N7" s="228"/>
    </row>
    <row r="8" spans="2:15" ht="21.9" customHeight="1">
      <c r="B8" s="87" t="s">
        <v>385</v>
      </c>
      <c r="C8" s="323" t="s">
        <v>70</v>
      </c>
      <c r="D8" s="323"/>
      <c r="E8" s="323"/>
      <c r="F8" s="323"/>
      <c r="G8" s="323"/>
      <c r="H8" s="323"/>
      <c r="I8" s="24"/>
      <c r="J8" s="69"/>
      <c r="K8" s="999" t="s">
        <v>787</v>
      </c>
      <c r="L8" s="69"/>
      <c r="M8" s="127" t="s">
        <v>787</v>
      </c>
    </row>
    <row r="9" spans="2:15" ht="21.9" customHeight="1">
      <c r="B9" s="87"/>
      <c r="C9" s="323"/>
      <c r="D9" s="323" t="s">
        <v>67</v>
      </c>
      <c r="E9" s="323" t="s">
        <v>68</v>
      </c>
      <c r="F9" s="323"/>
      <c r="G9" s="323"/>
      <c r="H9" s="323"/>
      <c r="I9" s="75" t="s">
        <v>55</v>
      </c>
      <c r="J9" s="69"/>
      <c r="K9" s="999" t="s">
        <v>787</v>
      </c>
      <c r="L9" s="69"/>
      <c r="M9" s="580">
        <v>27.87</v>
      </c>
    </row>
    <row r="10" spans="2:15" ht="21.9" customHeight="1">
      <c r="B10" s="87"/>
      <c r="C10" s="323"/>
      <c r="D10" s="323" t="s">
        <v>69</v>
      </c>
      <c r="E10" s="323" t="s">
        <v>985</v>
      </c>
      <c r="F10" s="323"/>
      <c r="G10" s="323"/>
      <c r="H10" s="323"/>
      <c r="I10" s="75" t="s">
        <v>56</v>
      </c>
      <c r="J10" s="69"/>
      <c r="K10" s="999" t="s">
        <v>787</v>
      </c>
      <c r="L10" s="69"/>
      <c r="M10" s="580"/>
    </row>
    <row r="11" spans="2:15" ht="21.9" customHeight="1">
      <c r="B11" s="87" t="s">
        <v>386</v>
      </c>
      <c r="C11" s="323" t="s">
        <v>612</v>
      </c>
      <c r="D11" s="323"/>
      <c r="E11" s="323"/>
      <c r="F11" s="323"/>
      <c r="G11" s="323"/>
      <c r="H11" s="323"/>
      <c r="I11" s="24"/>
      <c r="J11" s="69"/>
      <c r="K11" s="999" t="s">
        <v>787</v>
      </c>
      <c r="L11" s="69"/>
      <c r="M11" s="127" t="s">
        <v>787</v>
      </c>
    </row>
    <row r="12" spans="2:15" ht="21.9" customHeight="1">
      <c r="B12" s="87"/>
      <c r="C12" s="323"/>
      <c r="D12" s="323" t="s">
        <v>67</v>
      </c>
      <c r="E12" s="323" t="s">
        <v>68</v>
      </c>
      <c r="F12" s="323"/>
      <c r="G12" s="323"/>
      <c r="H12" s="323"/>
      <c r="I12" s="75" t="s">
        <v>613</v>
      </c>
      <c r="J12" s="69"/>
      <c r="K12" s="999" t="s">
        <v>787</v>
      </c>
      <c r="L12" s="69"/>
      <c r="M12" s="580"/>
    </row>
    <row r="13" spans="2:15" ht="21.9" customHeight="1">
      <c r="B13" s="87"/>
      <c r="C13" s="323"/>
      <c r="D13" s="323" t="s">
        <v>69</v>
      </c>
      <c r="E13" s="323" t="s">
        <v>985</v>
      </c>
      <c r="F13" s="323"/>
      <c r="G13" s="323"/>
      <c r="H13" s="323"/>
      <c r="I13" s="75" t="s">
        <v>614</v>
      </c>
      <c r="J13" s="69"/>
      <c r="K13" s="999" t="s">
        <v>787</v>
      </c>
      <c r="L13" s="69"/>
      <c r="M13" s="580"/>
    </row>
    <row r="14" spans="2:15" ht="21.9" customHeight="1">
      <c r="B14" s="87" t="s">
        <v>387</v>
      </c>
      <c r="C14" s="323" t="s">
        <v>617</v>
      </c>
      <c r="D14" s="323"/>
      <c r="E14" s="323"/>
      <c r="F14" s="323"/>
      <c r="G14" s="323"/>
      <c r="H14" s="323"/>
      <c r="I14" s="75" t="s">
        <v>615</v>
      </c>
      <c r="J14" s="69"/>
      <c r="K14" s="581"/>
      <c r="L14" s="69"/>
      <c r="M14" s="127" t="s">
        <v>787</v>
      </c>
    </row>
    <row r="15" spans="2:15" ht="21.9" customHeight="1">
      <c r="B15" s="87" t="s">
        <v>388</v>
      </c>
      <c r="C15" s="323" t="s">
        <v>618</v>
      </c>
      <c r="D15" s="323"/>
      <c r="E15" s="323"/>
      <c r="F15" s="323"/>
      <c r="G15" s="323"/>
      <c r="H15" s="323"/>
      <c r="I15" s="75" t="s">
        <v>616</v>
      </c>
      <c r="J15" s="69"/>
      <c r="K15" s="581"/>
      <c r="L15" s="69"/>
      <c r="M15" s="127" t="s">
        <v>787</v>
      </c>
    </row>
    <row r="16" spans="2:15" ht="21.9" customHeight="1">
      <c r="B16" s="87" t="s">
        <v>389</v>
      </c>
      <c r="C16" s="1630" t="s">
        <v>312</v>
      </c>
      <c r="D16" s="1630"/>
      <c r="E16" s="1630"/>
      <c r="F16" s="1630"/>
      <c r="G16" s="1630"/>
      <c r="H16" s="1630"/>
      <c r="I16" s="1634"/>
      <c r="J16" s="69"/>
      <c r="K16" s="999" t="s">
        <v>787</v>
      </c>
      <c r="L16" s="69"/>
      <c r="M16" s="580"/>
    </row>
    <row r="17" spans="2:19" ht="21.9" customHeight="1">
      <c r="B17" s="87"/>
      <c r="C17" s="323"/>
      <c r="D17" s="323" t="s">
        <v>67</v>
      </c>
      <c r="E17" s="323" t="s">
        <v>619</v>
      </c>
      <c r="F17" s="323"/>
      <c r="G17" s="323"/>
      <c r="H17" s="323"/>
      <c r="I17" s="75" t="s">
        <v>621</v>
      </c>
      <c r="J17" s="69"/>
      <c r="K17" s="999" t="s">
        <v>787</v>
      </c>
      <c r="L17" s="212" t="s">
        <v>623</v>
      </c>
      <c r="M17" s="580"/>
    </row>
    <row r="18" spans="2:19" ht="21.9" customHeight="1">
      <c r="B18" s="87"/>
      <c r="C18" s="323"/>
      <c r="D18" s="323" t="s">
        <v>69</v>
      </c>
      <c r="E18" s="323" t="s">
        <v>620</v>
      </c>
      <c r="F18" s="323"/>
      <c r="G18" s="323"/>
      <c r="H18" s="323"/>
      <c r="I18" s="75" t="s">
        <v>622</v>
      </c>
      <c r="J18" s="212" t="s">
        <v>623</v>
      </c>
      <c r="K18" s="112">
        <f>+M17</f>
        <v>0</v>
      </c>
      <c r="L18" s="69"/>
      <c r="M18" s="127" t="s">
        <v>787</v>
      </c>
    </row>
    <row r="19" spans="2:19" ht="21.9" customHeight="1" thickBot="1">
      <c r="B19" s="87" t="s">
        <v>390</v>
      </c>
      <c r="C19" s="323" t="s">
        <v>624</v>
      </c>
      <c r="D19" s="323"/>
      <c r="E19" s="323"/>
      <c r="F19" s="323"/>
      <c r="G19" s="323"/>
      <c r="H19" s="323"/>
      <c r="I19" s="24"/>
      <c r="J19" s="73"/>
      <c r="K19" s="1000" t="s">
        <v>787</v>
      </c>
      <c r="L19" s="73"/>
      <c r="M19" s="73">
        <f>+K5+K14+K15+K18-M17-M16-M13-M12-M10-M9</f>
        <v>140550.30000000002</v>
      </c>
    </row>
    <row r="20" spans="2:19" ht="21.9" customHeight="1" thickTop="1" thickBot="1">
      <c r="B20" s="87" t="s">
        <v>501</v>
      </c>
      <c r="C20" s="323"/>
      <c r="D20" s="323" t="s">
        <v>805</v>
      </c>
      <c r="E20" s="323"/>
      <c r="F20" s="323"/>
      <c r="G20" s="323"/>
      <c r="H20" s="323"/>
      <c r="I20" s="24"/>
      <c r="J20" s="113"/>
      <c r="K20" s="114">
        <f>SUM(K5:K19)</f>
        <v>140578.17000000001</v>
      </c>
      <c r="L20" s="115"/>
      <c r="M20" s="115">
        <f>SUM(M5:M19)</f>
        <v>140578.17000000001</v>
      </c>
    </row>
    <row r="21" spans="2:19" ht="21.9" customHeight="1" thickTop="1">
      <c r="B21" s="87" t="s">
        <v>502</v>
      </c>
      <c r="C21" s="323" t="s">
        <v>625</v>
      </c>
      <c r="D21" s="323"/>
      <c r="E21" s="323"/>
      <c r="F21" s="323"/>
      <c r="G21" s="323"/>
      <c r="H21" s="323"/>
      <c r="I21" s="24"/>
      <c r="J21" s="67"/>
      <c r="K21" s="110">
        <f>+M19</f>
        <v>140550.30000000002</v>
      </c>
      <c r="L21" s="67"/>
      <c r="M21" s="128" t="s">
        <v>787</v>
      </c>
    </row>
    <row r="22" spans="2:19" ht="21.9" customHeight="1">
      <c r="B22" s="87" t="s">
        <v>503</v>
      </c>
      <c r="C22" s="323" t="s">
        <v>313</v>
      </c>
      <c r="D22" s="323"/>
      <c r="E22" s="323"/>
      <c r="F22" s="323"/>
      <c r="G22" s="323"/>
      <c r="H22" s="323"/>
      <c r="I22" s="24"/>
      <c r="J22" s="69"/>
      <c r="K22" s="999" t="s">
        <v>787</v>
      </c>
      <c r="L22" s="69"/>
      <c r="M22" s="69">
        <f>+I23+I24</f>
        <v>140550.29999999999</v>
      </c>
      <c r="N22" s="325"/>
    </row>
    <row r="23" spans="2:19" ht="21.9" customHeight="1">
      <c r="B23" s="87"/>
      <c r="C23" s="323"/>
      <c r="D23" s="323" t="s">
        <v>67</v>
      </c>
      <c r="E23" s="323" t="s">
        <v>68</v>
      </c>
      <c r="F23" s="323"/>
      <c r="G23" s="323"/>
      <c r="H23" s="49" t="s">
        <v>626</v>
      </c>
      <c r="I23" s="374">
        <v>140550.29999999999</v>
      </c>
      <c r="J23" s="69"/>
      <c r="K23" s="999" t="s">
        <v>787</v>
      </c>
      <c r="L23" s="69"/>
      <c r="M23" s="127" t="s">
        <v>787</v>
      </c>
      <c r="N23" s="228"/>
      <c r="O23" s="228"/>
      <c r="S23" s="228"/>
    </row>
    <row r="24" spans="2:19" ht="21.9" customHeight="1">
      <c r="B24" s="87"/>
      <c r="C24" s="323"/>
      <c r="D24" s="323" t="s">
        <v>69</v>
      </c>
      <c r="E24" s="323" t="s">
        <v>985</v>
      </c>
      <c r="F24" s="323"/>
      <c r="G24" s="323"/>
      <c r="H24" s="49" t="s">
        <v>627</v>
      </c>
      <c r="I24" s="374"/>
      <c r="J24" s="69"/>
      <c r="K24" s="999" t="s">
        <v>787</v>
      </c>
      <c r="L24" s="69"/>
      <c r="M24" s="127" t="s">
        <v>787</v>
      </c>
    </row>
    <row r="25" spans="2:19" ht="21.9" customHeight="1">
      <c r="B25" s="87" t="s">
        <v>288</v>
      </c>
      <c r="C25" s="323" t="str">
        <f>"Interest and Costs - "&amp;TEXT('KEY INPUTS'!D34,"0")&amp;" Tax Sale"</f>
        <v>Interest and Costs - 2019 Tax Sale</v>
      </c>
      <c r="D25" s="323"/>
      <c r="E25" s="323"/>
      <c r="F25" s="323"/>
      <c r="G25" s="323"/>
      <c r="H25" s="323"/>
      <c r="I25" s="75" t="s">
        <v>628</v>
      </c>
      <c r="J25" s="69"/>
      <c r="K25" s="581"/>
      <c r="L25" s="69"/>
      <c r="M25" s="127" t="s">
        <v>787</v>
      </c>
    </row>
    <row r="26" spans="2:19" ht="21.9" customHeight="1">
      <c r="B26" s="87" t="s">
        <v>290</v>
      </c>
      <c r="C26" s="323" t="str">
        <f>TEXT('KEY INPUTS'!D34,"0")&amp;" Taxes Transferred to Liens"</f>
        <v>2019 Taxes Transferred to Liens</v>
      </c>
      <c r="D26" s="323"/>
      <c r="E26" s="323"/>
      <c r="F26" s="323"/>
      <c r="G26" s="323"/>
      <c r="H26" s="323"/>
      <c r="I26" s="75" t="s">
        <v>629</v>
      </c>
      <c r="J26" s="69"/>
      <c r="K26" s="581"/>
      <c r="L26" s="69"/>
      <c r="M26" s="127" t="s">
        <v>787</v>
      </c>
    </row>
    <row r="27" spans="2:19" ht="21.9" customHeight="1">
      <c r="B27" s="87" t="s">
        <v>292</v>
      </c>
      <c r="C27" s="323" t="str">
        <f>TEXT('KEY INPUTS'!D34,"0")&amp;" Taxes"</f>
        <v>2019 Taxes</v>
      </c>
      <c r="D27" s="323"/>
      <c r="E27" s="323"/>
      <c r="F27" s="323"/>
      <c r="G27" s="323"/>
      <c r="H27" s="323"/>
      <c r="I27" s="75" t="s">
        <v>630</v>
      </c>
      <c r="J27" s="69"/>
      <c r="K27" s="720">
        <f>+'22-2019 Levy'!N35+'22-2019 Levy'!N22</f>
        <v>272172.30999999493</v>
      </c>
      <c r="L27" s="69"/>
      <c r="M27" s="127" t="s">
        <v>787</v>
      </c>
    </row>
    <row r="28" spans="2:19" ht="21.9" customHeight="1">
      <c r="B28" s="87" t="s">
        <v>719</v>
      </c>
      <c r="C28" s="323" t="str">
        <f>'KEY INPUTS'!D26</f>
        <v>Balance - December 31, 2019</v>
      </c>
      <c r="D28" s="323"/>
      <c r="E28" s="323"/>
      <c r="F28" s="323"/>
      <c r="G28" s="323"/>
      <c r="H28" s="323"/>
      <c r="I28" s="24"/>
      <c r="J28" s="69"/>
      <c r="K28" s="999" t="s">
        <v>787</v>
      </c>
      <c r="L28" s="69"/>
      <c r="M28" s="69">
        <f>+I29+I30</f>
        <v>272172.30999999493</v>
      </c>
    </row>
    <row r="29" spans="2:19" ht="21.9" customHeight="1">
      <c r="B29" s="87"/>
      <c r="C29" s="323"/>
      <c r="D29" s="323" t="s">
        <v>67</v>
      </c>
      <c r="E29" s="323" t="s">
        <v>68</v>
      </c>
      <c r="F29" s="323"/>
      <c r="G29" s="323"/>
      <c r="H29" s="49" t="s">
        <v>631</v>
      </c>
      <c r="I29" s="68">
        <f>+I6-M9-M12+K14-M17-I23+K27</f>
        <v>272172.30999999493</v>
      </c>
      <c r="J29" s="69"/>
      <c r="K29" s="999" t="s">
        <v>787</v>
      </c>
      <c r="L29" s="69"/>
      <c r="M29" s="127" t="s">
        <v>787</v>
      </c>
      <c r="N29" s="228"/>
    </row>
    <row r="30" spans="2:19" ht="21.9" customHeight="1">
      <c r="B30" s="87"/>
      <c r="C30" s="323"/>
      <c r="D30" s="323" t="s">
        <v>69</v>
      </c>
      <c r="E30" s="323" t="s">
        <v>985</v>
      </c>
      <c r="F30" s="323"/>
      <c r="G30" s="323"/>
      <c r="H30" s="49" t="s">
        <v>632</v>
      </c>
      <c r="I30" s="68">
        <f>+I7-M10-M13+K15+K18-I24+K25+K26</f>
        <v>0</v>
      </c>
      <c r="J30" s="69"/>
      <c r="K30" s="999" t="s">
        <v>787</v>
      </c>
      <c r="L30" s="69"/>
      <c r="M30" s="127" t="s">
        <v>787</v>
      </c>
      <c r="N30" s="228"/>
    </row>
    <row r="31" spans="2:19" ht="21.9" customHeight="1" thickBot="1">
      <c r="B31" s="85" t="s">
        <v>633</v>
      </c>
      <c r="C31" s="322"/>
      <c r="E31" t="s">
        <v>805</v>
      </c>
      <c r="I31" s="107"/>
      <c r="J31" s="80"/>
      <c r="K31" s="116">
        <f>SUM(K21:K30)</f>
        <v>412722.60999999498</v>
      </c>
      <c r="L31" s="117"/>
      <c r="M31" s="117">
        <f>SUM(M21:M30)</f>
        <v>412722.60999999492</v>
      </c>
      <c r="N31" s="228"/>
    </row>
    <row r="32" spans="2:19" ht="13.8" thickTop="1">
      <c r="B32" s="85"/>
      <c r="H32" s="228"/>
      <c r="I32" s="228"/>
      <c r="O32" s="228"/>
    </row>
    <row r="33" spans="2:13">
      <c r="B33" s="85"/>
      <c r="I33" s="228"/>
    </row>
    <row r="34" spans="2:13" ht="13.8" thickBot="1">
      <c r="B34" s="85" t="s">
        <v>634</v>
      </c>
      <c r="C34" t="s">
        <v>635</v>
      </c>
    </row>
    <row r="35" spans="2:13" ht="14.4" thickTop="1" thickBot="1">
      <c r="B35" s="85"/>
      <c r="C35" t="s">
        <v>636</v>
      </c>
      <c r="H35" s="109">
        <f>IFERROR(ROUND(M22/K21,4),"NO ENTRY")</f>
        <v>1</v>
      </c>
    </row>
    <row r="36" spans="2:13" ht="14.4" thickTop="1" thickBot="1">
      <c r="B36" s="85"/>
    </row>
    <row r="37" spans="2:13" ht="14.4" thickTop="1" thickBot="1">
      <c r="B37" s="85" t="s">
        <v>637</v>
      </c>
      <c r="C37" s="36" t="s">
        <v>638</v>
      </c>
      <c r="I37" s="111">
        <f>IFERROR(H35*M28,"NO ENTRY")</f>
        <v>272172.30999999493</v>
      </c>
      <c r="J37" t="s">
        <v>639</v>
      </c>
      <c r="M37" s="253"/>
    </row>
    <row r="38" spans="2:13" ht="13.8" thickTop="1">
      <c r="B38" s="85"/>
      <c r="C38" t="s">
        <v>413</v>
      </c>
      <c r="I38" s="57" t="s">
        <v>640</v>
      </c>
    </row>
    <row r="39" spans="2:13">
      <c r="B39" s="85"/>
    </row>
    <row r="40" spans="2:13">
      <c r="B40" s="97" t="s">
        <v>314</v>
      </c>
    </row>
    <row r="41" spans="2:13">
      <c r="B41" s="85"/>
    </row>
    <row r="42" spans="2:13">
      <c r="B42" s="97" t="s">
        <v>962</v>
      </c>
    </row>
    <row r="43" spans="2:13">
      <c r="B43" s="97"/>
    </row>
    <row r="44" spans="2:13">
      <c r="B44" s="97"/>
    </row>
    <row r="45" spans="2:13">
      <c r="B45" s="97"/>
    </row>
    <row r="46" spans="2:13">
      <c r="B46" s="97"/>
    </row>
    <row r="47" spans="2:13">
      <c r="B47" s="97"/>
    </row>
    <row r="48" spans="2:13">
      <c r="B48" s="85"/>
    </row>
    <row r="49" spans="2:13" ht="13.8">
      <c r="B49" s="1573" t="s">
        <v>963</v>
      </c>
      <c r="C49" s="1573"/>
      <c r="D49" s="1573"/>
      <c r="E49" s="1573"/>
      <c r="F49" s="1573"/>
      <c r="G49" s="1573"/>
      <c r="H49" s="1573"/>
      <c r="I49" s="1573"/>
      <c r="J49" s="1573"/>
      <c r="K49" s="1573"/>
      <c r="L49" s="1573"/>
      <c r="M49" s="1573"/>
    </row>
    <row r="50" spans="2:13">
      <c r="B50" s="85"/>
    </row>
    <row r="51" spans="2:13">
      <c r="B51" s="85"/>
    </row>
    <row r="52" spans="2:13">
      <c r="B52" s="85"/>
    </row>
    <row r="53" spans="2:13">
      <c r="B53" s="85"/>
    </row>
    <row r="54" spans="2:13">
      <c r="B54" s="85"/>
    </row>
    <row r="55" spans="2:13">
      <c r="B55" s="85"/>
    </row>
    <row r="56" spans="2:13">
      <c r="B56" s="85"/>
    </row>
    <row r="57" spans="2:13">
      <c r="B57" s="85"/>
    </row>
    <row r="58" spans="2:13">
      <c r="B58" s="85"/>
    </row>
    <row r="59" spans="2:13">
      <c r="B59" s="85"/>
    </row>
    <row r="60" spans="2:13">
      <c r="B60" s="85"/>
    </row>
    <row r="61" spans="2:13">
      <c r="B61" s="85"/>
    </row>
    <row r="62" spans="2:13">
      <c r="B62" s="85"/>
    </row>
    <row r="63" spans="2:13">
      <c r="B63" s="85"/>
    </row>
    <row r="64" spans="2:13">
      <c r="B64" s="85"/>
    </row>
    <row r="65" spans="2:2">
      <c r="B65" s="85"/>
    </row>
    <row r="66" spans="2:2">
      <c r="B66" s="85"/>
    </row>
    <row r="67" spans="2:2">
      <c r="B67" s="85"/>
    </row>
    <row r="68" spans="2:2">
      <c r="B68" s="85"/>
    </row>
    <row r="69" spans="2:2">
      <c r="B69" s="85"/>
    </row>
    <row r="70" spans="2:2">
      <c r="B70" s="85"/>
    </row>
    <row r="71" spans="2:2">
      <c r="B71" s="85"/>
    </row>
    <row r="72" spans="2:2">
      <c r="B72" s="85"/>
    </row>
    <row r="73" spans="2:2">
      <c r="B73" s="85"/>
    </row>
    <row r="74" spans="2:2">
      <c r="B74" s="85"/>
    </row>
    <row r="75" spans="2:2">
      <c r="B75" s="85"/>
    </row>
    <row r="76" spans="2:2">
      <c r="B76" s="85"/>
    </row>
    <row r="77" spans="2:2">
      <c r="B77" s="85"/>
    </row>
    <row r="78" spans="2:2">
      <c r="B78" s="85"/>
    </row>
    <row r="79" spans="2:2">
      <c r="B79" s="85"/>
    </row>
    <row r="80" spans="2:2">
      <c r="B80" s="8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topLeftCell="A16">
      <selection activeCell="I23" sqref="I23"/>
      <pageMargins left="0.25" right="0.25" top="0.5" bottom="0.5" header="0.25" footer="0.25"/>
      <pageSetup paperSize="5" orientation="portrait" r:id="rId2"/>
      <headerFooter alignWithMargins="0"/>
    </customSheetView>
    <customSheetView guid="{A64E4C9E-A3DA-4AAA-8607-F524450B9436}" topLeftCell="A16">
      <selection activeCell="I23" sqref="I23"/>
      <pageMargins left="0.25" right="0.25" top="0.5" bottom="0.5" header="0.25" footer="0.25"/>
      <pageSetup paperSize="5" orientation="portrait" r:id="rId3"/>
      <headerFooter alignWithMargins="0"/>
    </customSheetView>
    <customSheetView guid="{AB4FBD91-4533-473A-9702-569FF6402073}" topLeftCell="A19">
      <selection activeCell="I23" sqref="I23"/>
      <pageMargins left="0.25" right="0.25" top="0.5" bottom="0.5" header="0.25" footer="0.25"/>
      <pageSetup paperSize="5" orientation="portrait" r:id="rId4"/>
      <headerFooter alignWithMargins="0"/>
    </customSheetView>
  </customSheetViews>
  <mergeCells count="5">
    <mergeCell ref="B49:M49"/>
    <mergeCell ref="B2:M2"/>
    <mergeCell ref="J4:K4"/>
    <mergeCell ref="L4:M4"/>
    <mergeCell ref="C16:I16"/>
  </mergeCells>
  <phoneticPr fontId="0" type="noConversion"/>
  <pageMargins left="0.25" right="0.25" top="0.5" bottom="0.5" header="0.25" footer="0.25"/>
  <pageSetup paperSize="5" orientation="portrait" r:id="rId5"/>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5">
    <pageSetUpPr fitToPage="1"/>
  </sheetPr>
  <dimension ref="A2:V81"/>
  <sheetViews>
    <sheetView topLeftCell="A34" workbookViewId="0">
      <selection activeCell="B3" sqref="B3:O3"/>
    </sheetView>
  </sheetViews>
  <sheetFormatPr defaultRowHeight="13.2"/>
  <cols>
    <col min="1" max="1" width="4.6640625" customWidth="1"/>
    <col min="2" max="2" width="3.5546875" customWidth="1"/>
    <col min="3" max="3" width="4.6640625" customWidth="1"/>
    <col min="4" max="4" width="2.6640625" customWidth="1"/>
    <col min="5" max="5" width="4.6640625" customWidth="1"/>
    <col min="6" max="6" width="7.44140625" customWidth="1"/>
    <col min="7" max="7" width="4.5546875" customWidth="1"/>
    <col min="8" max="8" width="1.88671875" customWidth="1"/>
    <col min="9" max="9" width="16.6640625" customWidth="1"/>
    <col min="10" max="10" width="14.6640625" customWidth="1"/>
    <col min="11" max="12" width="16.6640625" customWidth="1"/>
    <col min="14" max="14" width="12.88671875" bestFit="1" customWidth="1"/>
  </cols>
  <sheetData>
    <row r="2" spans="2:22" ht="20.399999999999999">
      <c r="B2" s="1508" t="s">
        <v>1104</v>
      </c>
      <c r="C2" s="1508"/>
      <c r="D2" s="1508"/>
      <c r="E2" s="1508"/>
      <c r="F2" s="1508"/>
      <c r="G2" s="1508"/>
      <c r="H2" s="1508"/>
      <c r="I2" s="1508"/>
      <c r="J2" s="1508"/>
      <c r="K2" s="1508"/>
      <c r="L2" s="1508"/>
    </row>
    <row r="3" spans="2:22" ht="15.6">
      <c r="B3" s="1509" t="s">
        <v>1105</v>
      </c>
      <c r="C3" s="1509"/>
      <c r="D3" s="1509"/>
      <c r="E3" s="1509"/>
      <c r="F3" s="1509"/>
      <c r="G3" s="1509"/>
      <c r="H3" s="1509"/>
      <c r="I3" s="1509"/>
      <c r="J3" s="1509"/>
      <c r="K3" s="1509"/>
      <c r="L3" s="1509"/>
    </row>
    <row r="4" spans="2:22" ht="11.25" customHeight="1" thickBot="1"/>
    <row r="5" spans="2:22" ht="21" customHeight="1" thickTop="1" thickBot="1">
      <c r="B5" s="1044"/>
      <c r="C5" s="1044"/>
      <c r="D5" s="1044"/>
      <c r="E5" s="1044"/>
      <c r="F5" s="1044"/>
      <c r="G5" s="1044"/>
      <c r="H5" s="1044"/>
      <c r="I5" s="1044"/>
      <c r="J5" s="1044"/>
      <c r="K5" s="967" t="s">
        <v>125</v>
      </c>
      <c r="L5" s="993" t="s">
        <v>126</v>
      </c>
    </row>
    <row r="6" spans="2:22" ht="21.9" customHeight="1" thickTop="1">
      <c r="B6" s="1048" t="s">
        <v>384</v>
      </c>
      <c r="C6" s="381" t="str">
        <f>'KEY INPUTS'!D25</f>
        <v>Balance - January 1, 2019</v>
      </c>
      <c r="D6" s="381"/>
      <c r="E6" s="381"/>
      <c r="F6" s="381"/>
      <c r="G6" s="381"/>
      <c r="H6" s="381"/>
      <c r="I6" s="381"/>
      <c r="J6" s="1049" t="s">
        <v>1084</v>
      </c>
      <c r="K6" s="581"/>
      <c r="L6" s="1046" t="s">
        <v>787</v>
      </c>
    </row>
    <row r="7" spans="2:22" ht="21.9" customHeight="1">
      <c r="B7" s="981" t="s">
        <v>385</v>
      </c>
      <c r="C7" s="383" t="str">
        <f>"Foreclosed or Deeded in "&amp;TEXT('KEY INPUTS'!D34,"0")</f>
        <v>Foreclosed or Deeded in 2019</v>
      </c>
      <c r="D7" s="383"/>
      <c r="E7" s="383"/>
      <c r="F7" s="383"/>
      <c r="G7" s="383"/>
      <c r="H7" s="383"/>
      <c r="I7" s="383"/>
      <c r="J7" s="384"/>
      <c r="K7" s="1047" t="s">
        <v>787</v>
      </c>
      <c r="L7" s="977" t="s">
        <v>787</v>
      </c>
    </row>
    <row r="8" spans="2:22" ht="21.9" customHeight="1">
      <c r="B8" s="981" t="s">
        <v>386</v>
      </c>
      <c r="C8" s="383"/>
      <c r="D8" s="383" t="s">
        <v>985</v>
      </c>
      <c r="E8" s="383"/>
      <c r="F8" s="383"/>
      <c r="G8" s="383"/>
      <c r="H8" s="383"/>
      <c r="I8" s="383"/>
      <c r="J8" s="1050" t="s">
        <v>1085</v>
      </c>
      <c r="K8" s="1476">
        <f>+'26-Delinquent Taxes and Liens'!M13</f>
        <v>0</v>
      </c>
      <c r="L8" s="977" t="s">
        <v>787</v>
      </c>
      <c r="N8" s="322"/>
      <c r="O8" s="322"/>
      <c r="P8" s="322"/>
      <c r="Q8" s="322"/>
      <c r="R8" s="322"/>
      <c r="S8" s="322"/>
      <c r="T8" s="322"/>
      <c r="U8" s="322"/>
      <c r="V8" s="322"/>
    </row>
    <row r="9" spans="2:22" ht="21.9" customHeight="1">
      <c r="B9" s="981" t="s">
        <v>387</v>
      </c>
      <c r="C9" s="383"/>
      <c r="D9" s="383" t="s">
        <v>984</v>
      </c>
      <c r="E9" s="383"/>
      <c r="F9" s="383"/>
      <c r="G9" s="383"/>
      <c r="H9" s="383"/>
      <c r="I9" s="383"/>
      <c r="J9" s="1050" t="s">
        <v>1086</v>
      </c>
      <c r="K9" s="1235">
        <f>+'26-Delinquent Taxes and Liens'!M12</f>
        <v>0</v>
      </c>
      <c r="L9" s="977" t="s">
        <v>787</v>
      </c>
      <c r="N9" s="322"/>
      <c r="O9" s="322"/>
      <c r="P9" s="322"/>
      <c r="Q9" s="322"/>
      <c r="R9" s="322"/>
      <c r="S9" s="322"/>
      <c r="T9" s="322"/>
      <c r="U9" s="322"/>
      <c r="V9" s="322"/>
    </row>
    <row r="10" spans="2:22" ht="21.9" customHeight="1">
      <c r="B10" s="981" t="s">
        <v>1087</v>
      </c>
      <c r="C10" s="1563"/>
      <c r="D10" s="1563"/>
      <c r="E10" s="1563"/>
      <c r="F10" s="1563"/>
      <c r="G10" s="1563"/>
      <c r="H10" s="1563"/>
      <c r="I10" s="1563"/>
      <c r="J10" s="1050" t="s">
        <v>1089</v>
      </c>
      <c r="K10" s="581"/>
      <c r="L10" s="977" t="s">
        <v>787</v>
      </c>
      <c r="N10" s="322"/>
      <c r="O10" s="322"/>
      <c r="P10" s="322"/>
      <c r="Q10" s="322"/>
      <c r="R10" s="322"/>
      <c r="S10" s="322"/>
      <c r="T10" s="322"/>
      <c r="U10" s="322"/>
      <c r="V10" s="322"/>
    </row>
    <row r="11" spans="2:22" ht="21.9" customHeight="1">
      <c r="B11" s="981" t="s">
        <v>1088</v>
      </c>
      <c r="C11" s="1563"/>
      <c r="D11" s="1563"/>
      <c r="E11" s="1563"/>
      <c r="F11" s="1563"/>
      <c r="G11" s="1563"/>
      <c r="H11" s="1563"/>
      <c r="I11" s="1563"/>
      <c r="J11" s="1050" t="s">
        <v>1090</v>
      </c>
      <c r="K11" s="1047" t="s">
        <v>787</v>
      </c>
      <c r="L11" s="580"/>
      <c r="N11" s="322"/>
      <c r="O11" s="322"/>
      <c r="P11" s="322"/>
      <c r="Q11" s="322"/>
      <c r="R11" s="322"/>
      <c r="S11" s="322"/>
      <c r="T11" s="322"/>
      <c r="U11" s="322"/>
      <c r="V11" s="322"/>
    </row>
    <row r="12" spans="2:22" ht="21.9" customHeight="1">
      <c r="B12" s="981" t="s">
        <v>389</v>
      </c>
      <c r="C12" s="383"/>
      <c r="D12" s="383" t="s">
        <v>1091</v>
      </c>
      <c r="E12" s="383"/>
      <c r="F12" s="383"/>
      <c r="G12" s="383"/>
      <c r="H12" s="383"/>
      <c r="I12" s="383"/>
      <c r="J12" s="1050" t="s">
        <v>1092</v>
      </c>
      <c r="K12" s="581"/>
      <c r="L12" s="977" t="s">
        <v>787</v>
      </c>
      <c r="N12" s="322"/>
      <c r="O12" s="322"/>
      <c r="P12" s="322"/>
      <c r="Q12" s="322"/>
      <c r="R12" s="322"/>
      <c r="S12" s="322"/>
      <c r="T12" s="322"/>
      <c r="U12" s="322"/>
      <c r="V12" s="322"/>
    </row>
    <row r="13" spans="2:22" ht="21.9" customHeight="1">
      <c r="B13" s="981" t="s">
        <v>390</v>
      </c>
      <c r="C13" s="383"/>
      <c r="D13" s="383" t="s">
        <v>1091</v>
      </c>
      <c r="E13" s="383"/>
      <c r="F13" s="383"/>
      <c r="G13" s="383"/>
      <c r="H13" s="383"/>
      <c r="I13" s="383"/>
      <c r="J13" s="1050" t="s">
        <v>1093</v>
      </c>
      <c r="K13" s="1047" t="s">
        <v>787</v>
      </c>
      <c r="L13" s="580"/>
      <c r="N13" s="322"/>
      <c r="O13" s="322"/>
      <c r="P13" s="322"/>
      <c r="Q13" s="322"/>
      <c r="R13" s="322"/>
      <c r="S13" s="322"/>
      <c r="T13" s="322"/>
      <c r="U13" s="322"/>
      <c r="V13" s="322"/>
    </row>
    <row r="14" spans="2:22" ht="21.9" customHeight="1">
      <c r="B14" s="981" t="s">
        <v>501</v>
      </c>
      <c r="C14" s="1051" t="s">
        <v>1094</v>
      </c>
      <c r="D14" s="1051"/>
      <c r="E14" s="1051"/>
      <c r="F14" s="1051"/>
      <c r="G14" s="1051"/>
      <c r="H14" s="1051"/>
      <c r="I14" s="1051"/>
      <c r="J14" s="1052"/>
      <c r="K14" s="1047" t="s">
        <v>787</v>
      </c>
      <c r="L14" s="977" t="s">
        <v>787</v>
      </c>
      <c r="N14" s="322"/>
      <c r="O14" s="322"/>
      <c r="P14" s="322"/>
      <c r="Q14" s="322"/>
      <c r="R14" s="322"/>
      <c r="S14" s="322"/>
      <c r="T14" s="322"/>
      <c r="U14" s="322"/>
      <c r="V14" s="322"/>
    </row>
    <row r="15" spans="2:22" ht="21.9" customHeight="1">
      <c r="B15" s="981" t="s">
        <v>502</v>
      </c>
      <c r="C15" s="1053"/>
      <c r="D15" s="1054" t="s">
        <v>1095</v>
      </c>
      <c r="E15" s="1053"/>
      <c r="F15" s="1053"/>
      <c r="G15" s="1053"/>
      <c r="H15" s="1053"/>
      <c r="I15" s="1053"/>
      <c r="J15" s="1050" t="s">
        <v>1098</v>
      </c>
      <c r="K15" s="1047" t="s">
        <v>787</v>
      </c>
      <c r="L15" s="580"/>
      <c r="N15" s="322"/>
      <c r="O15" s="377"/>
      <c r="P15" s="322"/>
      <c r="Q15" s="322"/>
      <c r="R15" s="322"/>
      <c r="S15" s="322"/>
      <c r="T15" s="322"/>
      <c r="U15" s="322"/>
      <c r="V15" s="322"/>
    </row>
    <row r="16" spans="2:22" ht="21.9" customHeight="1">
      <c r="B16" s="981" t="s">
        <v>503</v>
      </c>
      <c r="C16" s="1055"/>
      <c r="D16" s="1056" t="s">
        <v>1096</v>
      </c>
      <c r="E16" s="1055"/>
      <c r="F16" s="1055"/>
      <c r="G16" s="1055"/>
      <c r="H16" s="1055"/>
      <c r="I16" s="1055"/>
      <c r="J16" s="1050" t="s">
        <v>1099</v>
      </c>
      <c r="K16" s="1047" t="s">
        <v>787</v>
      </c>
      <c r="L16" s="580"/>
      <c r="N16" s="322"/>
      <c r="O16" s="322"/>
      <c r="P16" s="322"/>
      <c r="Q16" s="322"/>
      <c r="R16" s="322"/>
      <c r="S16" s="322"/>
      <c r="T16" s="322"/>
      <c r="U16" s="322"/>
      <c r="V16" s="322"/>
    </row>
    <row r="17" spans="2:22" ht="21.9" customHeight="1">
      <c r="B17" s="981" t="s">
        <v>288</v>
      </c>
      <c r="C17" s="1057"/>
      <c r="D17" s="1053" t="s">
        <v>1097</v>
      </c>
      <c r="E17" s="1057"/>
      <c r="F17" s="1057"/>
      <c r="G17" s="1057"/>
      <c r="H17" s="1057"/>
      <c r="I17" s="1057"/>
      <c r="J17" s="1050" t="s">
        <v>1100</v>
      </c>
      <c r="K17" s="1047" t="s">
        <v>787</v>
      </c>
      <c r="L17" s="580"/>
      <c r="N17" s="322"/>
      <c r="O17" s="322"/>
      <c r="P17" s="322"/>
      <c r="Q17" s="322"/>
      <c r="R17" s="322"/>
      <c r="S17" s="322"/>
      <c r="T17" s="322"/>
      <c r="U17" s="322"/>
      <c r="V17" s="322"/>
    </row>
    <row r="18" spans="2:22" ht="21.9" customHeight="1">
      <c r="B18" s="981" t="s">
        <v>290</v>
      </c>
      <c r="C18" s="1057"/>
      <c r="D18" s="1053" t="s">
        <v>315</v>
      </c>
      <c r="E18" s="1057"/>
      <c r="F18" s="1057"/>
      <c r="G18" s="1057"/>
      <c r="H18" s="1057"/>
      <c r="I18" s="1057"/>
      <c r="J18" s="1050" t="s">
        <v>1101</v>
      </c>
      <c r="K18" s="1047" t="s">
        <v>787</v>
      </c>
      <c r="L18" s="580"/>
      <c r="N18" s="322"/>
      <c r="O18" s="322"/>
      <c r="P18" s="322"/>
      <c r="Q18" s="322"/>
      <c r="R18" s="322"/>
      <c r="S18" s="322"/>
      <c r="T18" s="322"/>
      <c r="U18" s="322"/>
      <c r="V18" s="322"/>
    </row>
    <row r="19" spans="2:22" ht="21.9" customHeight="1">
      <c r="B19" s="981" t="s">
        <v>292</v>
      </c>
      <c r="C19" s="383"/>
      <c r="D19" s="383" t="s">
        <v>316</v>
      </c>
      <c r="E19" s="383"/>
      <c r="F19" s="383"/>
      <c r="G19" s="383"/>
      <c r="H19" s="383"/>
      <c r="I19" s="383"/>
      <c r="J19" s="1050" t="s">
        <v>1102</v>
      </c>
      <c r="K19" s="581"/>
      <c r="L19" s="977" t="s">
        <v>787</v>
      </c>
      <c r="N19" s="322"/>
      <c r="O19" s="322"/>
      <c r="P19" s="322"/>
      <c r="Q19" s="322"/>
      <c r="R19" s="322"/>
      <c r="S19" s="322"/>
      <c r="T19" s="322"/>
      <c r="U19" s="322"/>
      <c r="V19" s="322"/>
    </row>
    <row r="20" spans="2:22" ht="21.9" customHeight="1" thickBot="1">
      <c r="B20" s="981" t="s">
        <v>719</v>
      </c>
      <c r="C20" s="383" t="str">
        <f>'KEY INPUTS'!D26</f>
        <v>Balance - December 31, 2019</v>
      </c>
      <c r="D20" s="383"/>
      <c r="E20" s="383"/>
      <c r="F20" s="383"/>
      <c r="G20" s="383"/>
      <c r="H20" s="383"/>
      <c r="I20" s="383"/>
      <c r="J20" s="1050" t="s">
        <v>1103</v>
      </c>
      <c r="K20" s="1060" t="s">
        <v>787</v>
      </c>
      <c r="L20" s="1058">
        <f>K6+SUM(K8:K10)-L11+K12-L13-SUM(L15:L18)+K19</f>
        <v>0</v>
      </c>
      <c r="N20" s="322"/>
      <c r="O20" s="322"/>
      <c r="P20" s="322"/>
      <c r="Q20" s="322"/>
      <c r="R20" s="322"/>
      <c r="S20" s="322"/>
      <c r="T20" s="322"/>
      <c r="U20" s="322"/>
      <c r="V20" s="322"/>
    </row>
    <row r="21" spans="2:22" ht="21.9" customHeight="1" thickTop="1" thickBot="1">
      <c r="B21" s="85"/>
      <c r="J21" s="42"/>
      <c r="K21" s="1061">
        <f>SUM(K6:K20)</f>
        <v>0</v>
      </c>
      <c r="L21" s="1059">
        <f>SUM(L6:L20)</f>
        <v>0</v>
      </c>
      <c r="N21" s="322"/>
      <c r="O21" s="322"/>
      <c r="P21" s="322"/>
      <c r="Q21" s="322"/>
      <c r="R21" s="322"/>
      <c r="S21" s="322"/>
      <c r="T21" s="322"/>
      <c r="U21" s="322"/>
      <c r="V21" s="322"/>
    </row>
    <row r="22" spans="2:22" ht="15" customHeight="1" thickTop="1">
      <c r="B22" s="85"/>
      <c r="J22" s="42"/>
      <c r="K22" s="122"/>
      <c r="L22" s="122"/>
      <c r="N22" s="322"/>
      <c r="O22" s="322"/>
      <c r="P22" s="322"/>
      <c r="Q22" s="322"/>
      <c r="R22" s="322"/>
      <c r="S22" s="322"/>
      <c r="T22" s="322"/>
      <c r="U22" s="322"/>
      <c r="V22" s="322"/>
    </row>
    <row r="23" spans="2:22" ht="16.5" customHeight="1">
      <c r="B23" s="1568" t="s">
        <v>1106</v>
      </c>
      <c r="C23" s="1568"/>
      <c r="D23" s="1568"/>
      <c r="E23" s="1568"/>
      <c r="F23" s="1568"/>
      <c r="G23" s="1568"/>
      <c r="H23" s="1568"/>
      <c r="I23" s="1568"/>
      <c r="J23" s="1568"/>
      <c r="K23" s="1568"/>
      <c r="L23" s="1568"/>
      <c r="N23" s="322"/>
      <c r="O23" s="322"/>
      <c r="P23" s="322"/>
      <c r="Q23" s="322"/>
      <c r="R23" s="322"/>
      <c r="S23" s="322"/>
      <c r="T23" s="322"/>
      <c r="U23" s="322"/>
      <c r="V23" s="322"/>
    </row>
    <row r="24" spans="2:22" ht="9.75" customHeight="1" thickBot="1">
      <c r="B24" s="853"/>
      <c r="C24" s="853"/>
      <c r="D24" s="853"/>
      <c r="E24" s="853"/>
      <c r="F24" s="853"/>
      <c r="G24" s="853"/>
      <c r="H24" s="853"/>
      <c r="I24" s="853"/>
      <c r="J24" s="853"/>
      <c r="K24" s="853"/>
      <c r="L24" s="853"/>
      <c r="N24" s="322"/>
      <c r="O24" s="322"/>
      <c r="P24" s="322"/>
      <c r="Q24" s="322"/>
      <c r="R24" s="322"/>
      <c r="S24" s="322"/>
      <c r="T24" s="322"/>
      <c r="U24" s="322"/>
      <c r="V24" s="322"/>
    </row>
    <row r="25" spans="2:22" ht="21.9" customHeight="1" thickTop="1" thickBot="1">
      <c r="B25" s="1044"/>
      <c r="C25" s="1044"/>
      <c r="D25" s="1044"/>
      <c r="E25" s="1044"/>
      <c r="F25" s="1044"/>
      <c r="G25" s="1044"/>
      <c r="H25" s="1044"/>
      <c r="I25" s="1044"/>
      <c r="J25" s="1044"/>
      <c r="K25" s="967" t="s">
        <v>125</v>
      </c>
      <c r="L25" s="993" t="s">
        <v>126</v>
      </c>
      <c r="N25" s="322"/>
      <c r="O25" s="322"/>
      <c r="P25" s="322"/>
      <c r="Q25" s="322"/>
      <c r="R25" s="322"/>
      <c r="S25" s="322"/>
      <c r="T25" s="322"/>
      <c r="U25" s="322"/>
      <c r="V25" s="322"/>
    </row>
    <row r="26" spans="2:22" ht="20.100000000000001" customHeight="1" thickTop="1">
      <c r="B26" s="1048" t="s">
        <v>633</v>
      </c>
      <c r="C26" s="381" t="str">
        <f>C6</f>
        <v>Balance - January 1, 2019</v>
      </c>
      <c r="D26" s="381"/>
      <c r="E26" s="381"/>
      <c r="F26" s="381"/>
      <c r="G26" s="381"/>
      <c r="H26" s="381"/>
      <c r="I26" s="381"/>
      <c r="J26" s="1050" t="s">
        <v>1110</v>
      </c>
      <c r="K26" s="581"/>
      <c r="L26" s="1046" t="s">
        <v>787</v>
      </c>
      <c r="N26" s="322"/>
      <c r="O26" s="322"/>
      <c r="P26" s="322"/>
      <c r="Q26" s="322"/>
      <c r="R26" s="322"/>
      <c r="S26" s="322"/>
      <c r="T26" s="322"/>
      <c r="U26" s="322"/>
      <c r="V26" s="322"/>
    </row>
    <row r="27" spans="2:22" ht="20.100000000000001" customHeight="1">
      <c r="B27" s="981" t="s">
        <v>634</v>
      </c>
      <c r="C27" s="383" t="str">
        <f>TEXT('KEY INPUTS'!D34,"0")&amp; " Sales from Foreclosed Property"</f>
        <v>2019 Sales from Foreclosed Property</v>
      </c>
      <c r="D27" s="383"/>
      <c r="E27" s="383"/>
      <c r="F27" s="383"/>
      <c r="G27" s="383"/>
      <c r="H27" s="383"/>
      <c r="I27" s="383"/>
      <c r="J27" s="1050" t="s">
        <v>1111</v>
      </c>
      <c r="K27" s="581"/>
      <c r="L27" s="977" t="s">
        <v>787</v>
      </c>
    </row>
    <row r="28" spans="2:22" ht="20.100000000000001" customHeight="1">
      <c r="B28" s="981" t="s">
        <v>637</v>
      </c>
      <c r="C28" s="383" t="s">
        <v>1109</v>
      </c>
      <c r="D28" s="383"/>
      <c r="E28" s="383"/>
      <c r="F28" s="383"/>
      <c r="G28" s="383"/>
      <c r="H28" s="383"/>
      <c r="I28" s="383"/>
      <c r="J28" s="1050" t="s">
        <v>1112</v>
      </c>
      <c r="K28" s="1047" t="s">
        <v>787</v>
      </c>
      <c r="L28" s="580"/>
    </row>
    <row r="29" spans="2:22" ht="20.100000000000001" customHeight="1">
      <c r="B29" s="981" t="s">
        <v>1107</v>
      </c>
      <c r="C29" s="1563"/>
      <c r="D29" s="1563"/>
      <c r="E29" s="1563"/>
      <c r="F29" s="1563"/>
      <c r="G29" s="1563"/>
      <c r="H29" s="1563"/>
      <c r="I29" s="1563"/>
      <c r="J29" s="1050" t="s">
        <v>1113</v>
      </c>
      <c r="K29" s="1047" t="s">
        <v>787</v>
      </c>
      <c r="L29" s="580"/>
    </row>
    <row r="30" spans="2:22" ht="20.100000000000001" customHeight="1" thickBot="1">
      <c r="B30" s="981" t="s">
        <v>1108</v>
      </c>
      <c r="C30" s="383" t="str">
        <f>C20</f>
        <v>Balance - December 31, 2019</v>
      </c>
      <c r="D30" s="383"/>
      <c r="E30" s="383"/>
      <c r="F30" s="383"/>
      <c r="G30" s="383"/>
      <c r="H30" s="383"/>
      <c r="I30" s="383"/>
      <c r="J30" s="1050" t="s">
        <v>1114</v>
      </c>
      <c r="K30" s="1060" t="s">
        <v>787</v>
      </c>
      <c r="L30" s="1062">
        <f>SUM(K26:K27)-SUM(L28:L29)</f>
        <v>0</v>
      </c>
    </row>
    <row r="31" spans="2:22" ht="20.100000000000001" customHeight="1" thickTop="1" thickBot="1">
      <c r="B31" s="85"/>
      <c r="J31" s="42"/>
      <c r="K31" s="1061">
        <f>SUM(K26:K30)</f>
        <v>0</v>
      </c>
      <c r="L31" s="1059">
        <f>SUM(L26:L30)</f>
        <v>0</v>
      </c>
    </row>
    <row r="32" spans="2:22" ht="15" customHeight="1" thickTop="1">
      <c r="B32" s="85"/>
      <c r="J32" s="42"/>
      <c r="K32" s="122"/>
      <c r="L32" s="122"/>
    </row>
    <row r="33" spans="1:12" ht="16.5" customHeight="1">
      <c r="B33" s="1568" t="s">
        <v>1115</v>
      </c>
      <c r="C33" s="1568"/>
      <c r="D33" s="1568"/>
      <c r="E33" s="1568"/>
      <c r="F33" s="1568"/>
      <c r="G33" s="1568"/>
      <c r="H33" s="1568"/>
      <c r="I33" s="1568"/>
      <c r="J33" s="1568"/>
      <c r="K33" s="1568"/>
      <c r="L33" s="1568"/>
    </row>
    <row r="34" spans="1:12" ht="9.75" customHeight="1" thickBot="1">
      <c r="B34" s="853"/>
      <c r="C34" s="853"/>
      <c r="D34" s="853"/>
      <c r="E34" s="853"/>
      <c r="F34" s="853"/>
      <c r="G34" s="853"/>
      <c r="H34" s="853"/>
      <c r="I34" s="853"/>
      <c r="J34" s="853"/>
      <c r="K34" s="853"/>
      <c r="L34" s="853"/>
    </row>
    <row r="35" spans="1:12" ht="21.9" customHeight="1" thickTop="1" thickBot="1">
      <c r="B35" s="1044"/>
      <c r="C35" s="1044"/>
      <c r="D35" s="1044"/>
      <c r="E35" s="1044"/>
      <c r="F35" s="1044"/>
      <c r="G35" s="1044"/>
      <c r="H35" s="1044"/>
      <c r="I35" s="1044"/>
      <c r="J35" s="1044"/>
      <c r="K35" s="967" t="s">
        <v>125</v>
      </c>
      <c r="L35" s="993" t="s">
        <v>126</v>
      </c>
    </row>
    <row r="36" spans="1:12" ht="20.100000000000001" customHeight="1" thickTop="1">
      <c r="B36" s="1048" t="s">
        <v>1116</v>
      </c>
      <c r="C36" s="381" t="str">
        <f>C26</f>
        <v>Balance - January 1, 2019</v>
      </c>
      <c r="D36" s="381"/>
      <c r="E36" s="381"/>
      <c r="F36" s="381"/>
      <c r="G36" s="381"/>
      <c r="H36" s="381"/>
      <c r="I36" s="381"/>
      <c r="J36" s="1050" t="s">
        <v>1121</v>
      </c>
      <c r="K36" s="581"/>
      <c r="L36" s="1046" t="s">
        <v>787</v>
      </c>
    </row>
    <row r="37" spans="1:12" ht="20.100000000000001" customHeight="1">
      <c r="B37" s="981" t="s">
        <v>1117</v>
      </c>
      <c r="C37" s="383" t="str">
        <f>C27</f>
        <v>2019 Sales from Foreclosed Property</v>
      </c>
      <c r="D37" s="383"/>
      <c r="E37" s="383"/>
      <c r="F37" s="383"/>
      <c r="G37" s="383"/>
      <c r="H37" s="383"/>
      <c r="I37" s="383"/>
      <c r="J37" s="1050" t="s">
        <v>1122</v>
      </c>
      <c r="K37" s="581"/>
      <c r="L37" s="977" t="s">
        <v>787</v>
      </c>
    </row>
    <row r="38" spans="1:12" ht="20.100000000000001" customHeight="1">
      <c r="B38" s="981" t="s">
        <v>1118</v>
      </c>
      <c r="C38" s="383" t="s">
        <v>1109</v>
      </c>
      <c r="D38" s="383"/>
      <c r="E38" s="383"/>
      <c r="F38" s="383"/>
      <c r="G38" s="383"/>
      <c r="H38" s="383"/>
      <c r="I38" s="383"/>
      <c r="J38" s="1050" t="s">
        <v>1123</v>
      </c>
      <c r="K38" s="1047" t="s">
        <v>787</v>
      </c>
      <c r="L38" s="580"/>
    </row>
    <row r="39" spans="1:12" ht="20.100000000000001" customHeight="1">
      <c r="B39" s="981" t="s">
        <v>1119</v>
      </c>
      <c r="C39" s="1563"/>
      <c r="D39" s="1563"/>
      <c r="E39" s="1563"/>
      <c r="F39" s="1563"/>
      <c r="G39" s="1563"/>
      <c r="H39" s="1563"/>
      <c r="I39" s="1563"/>
      <c r="J39" s="1050" t="s">
        <v>1124</v>
      </c>
      <c r="K39" s="1047" t="s">
        <v>787</v>
      </c>
      <c r="L39" s="580"/>
    </row>
    <row r="40" spans="1:12" ht="20.100000000000001" customHeight="1" thickBot="1">
      <c r="B40" s="981" t="s">
        <v>1120</v>
      </c>
      <c r="C40" s="383" t="str">
        <f>C30</f>
        <v>Balance - December 31, 2019</v>
      </c>
      <c r="D40" s="383"/>
      <c r="E40" s="383"/>
      <c r="F40" s="383"/>
      <c r="G40" s="383"/>
      <c r="H40" s="383"/>
      <c r="I40" s="383"/>
      <c r="J40" s="1050" t="s">
        <v>1125</v>
      </c>
      <c r="K40" s="1060" t="s">
        <v>787</v>
      </c>
      <c r="L40" s="1062">
        <f>SUM(K36:K37)-SUM(L38:L39)</f>
        <v>0</v>
      </c>
    </row>
    <row r="41" spans="1:12" ht="20.100000000000001" customHeight="1" thickTop="1" thickBot="1">
      <c r="B41" s="984"/>
      <c r="C41" s="853"/>
      <c r="D41" s="853"/>
      <c r="E41" s="853"/>
      <c r="F41" s="853"/>
      <c r="G41" s="853"/>
      <c r="H41" s="853"/>
      <c r="I41" s="853"/>
      <c r="J41" s="1063"/>
      <c r="K41" s="1061">
        <f>SUM(K36:K40)</f>
        <v>0</v>
      </c>
      <c r="L41" s="1059">
        <f>SUM(L36:L40)</f>
        <v>0</v>
      </c>
    </row>
    <row r="42" spans="1:12" ht="13.8" thickTop="1">
      <c r="B42" s="1064" t="s">
        <v>1126</v>
      </c>
      <c r="C42" s="853"/>
      <c r="D42" s="853"/>
      <c r="E42" s="853"/>
      <c r="F42" s="853"/>
      <c r="G42" s="853"/>
      <c r="H42" s="853" t="s">
        <v>482</v>
      </c>
      <c r="I42" s="849">
        <f>+L15+L28+L38</f>
        <v>0</v>
      </c>
      <c r="J42" s="853"/>
    </row>
    <row r="43" spans="1:12">
      <c r="B43" s="1065" t="str">
        <f>"* Total Cash Collected in "&amp;TEXT('KEY INPUTS'!D34,"0")</f>
        <v>* Total Cash Collected in 2019</v>
      </c>
      <c r="C43" s="853"/>
      <c r="D43" s="853"/>
      <c r="E43" s="853"/>
      <c r="F43" s="853"/>
      <c r="G43" s="853"/>
      <c r="H43" s="853"/>
      <c r="I43" s="1066" t="s">
        <v>1127</v>
      </c>
      <c r="J43" s="853"/>
    </row>
    <row r="44" spans="1:12" ht="7.5" customHeight="1">
      <c r="B44" s="85"/>
    </row>
    <row r="45" spans="1:12">
      <c r="B45" s="296" t="str">
        <f>"Realized in "&amp;TEXT('KEY INPUTS'!D34,"0")&amp; " Budget"</f>
        <v>Realized in 2019 Budget</v>
      </c>
      <c r="I45" s="580"/>
    </row>
    <row r="46" spans="1:12" ht="7.5" customHeight="1">
      <c r="B46" s="85"/>
    </row>
    <row r="47" spans="1:12">
      <c r="A47" s="853"/>
      <c r="B47" s="1064" t="s">
        <v>1128</v>
      </c>
      <c r="C47" s="853"/>
      <c r="D47" s="853"/>
      <c r="E47" s="853"/>
      <c r="F47" s="853"/>
      <c r="G47" s="853"/>
      <c r="H47" s="853"/>
      <c r="I47" s="849">
        <f>+I42-I45</f>
        <v>0</v>
      </c>
      <c r="J47" s="853"/>
      <c r="K47" s="853"/>
      <c r="L47" s="853"/>
    </row>
    <row r="48" spans="1:12">
      <c r="A48" s="853"/>
      <c r="B48" s="1064"/>
      <c r="C48" s="853"/>
      <c r="D48" s="853"/>
      <c r="E48" s="853"/>
      <c r="F48" s="853"/>
      <c r="G48" s="853"/>
      <c r="H48" s="853"/>
      <c r="I48" s="1067"/>
      <c r="J48" s="853"/>
      <c r="K48" s="853"/>
      <c r="L48" s="853"/>
    </row>
    <row r="49" spans="1:12">
      <c r="A49" s="853"/>
      <c r="B49" s="1064"/>
      <c r="C49" s="853"/>
      <c r="D49" s="853"/>
      <c r="E49" s="853"/>
      <c r="F49" s="853"/>
      <c r="G49" s="853"/>
      <c r="H49" s="853"/>
      <c r="I49" s="1067"/>
      <c r="J49" s="853"/>
      <c r="K49" s="853"/>
      <c r="L49" s="853"/>
    </row>
    <row r="50" spans="1:12" ht="13.8">
      <c r="A50" s="853"/>
      <c r="B50" s="1635" t="s">
        <v>544</v>
      </c>
      <c r="C50" s="1635"/>
      <c r="D50" s="1635"/>
      <c r="E50" s="1635"/>
      <c r="F50" s="1635"/>
      <c r="G50" s="1635"/>
      <c r="H50" s="1635"/>
      <c r="I50" s="1635"/>
      <c r="J50" s="1635"/>
      <c r="K50" s="1635"/>
      <c r="L50" s="1635"/>
    </row>
    <row r="51" spans="1:12">
      <c r="B51" s="85"/>
    </row>
    <row r="52" spans="1:12">
      <c r="B52" s="85"/>
    </row>
    <row r="53" spans="1:12">
      <c r="B53" s="85"/>
    </row>
    <row r="54" spans="1:12">
      <c r="B54" s="85"/>
    </row>
    <row r="55" spans="1:12">
      <c r="B55" s="85"/>
    </row>
    <row r="56" spans="1:12">
      <c r="B56" s="85"/>
    </row>
    <row r="57" spans="1:12">
      <c r="B57" s="85"/>
    </row>
    <row r="58" spans="1:12">
      <c r="B58" s="85"/>
    </row>
    <row r="59" spans="1:12">
      <c r="B59" s="85"/>
    </row>
    <row r="60" spans="1:12">
      <c r="B60" s="85"/>
    </row>
    <row r="61" spans="1:12">
      <c r="B61" s="85"/>
    </row>
    <row r="62" spans="1:12">
      <c r="B62" s="85"/>
    </row>
    <row r="63" spans="1:12">
      <c r="B63" s="85"/>
    </row>
    <row r="64" spans="1:12">
      <c r="B64" s="85"/>
    </row>
    <row r="65" spans="2:2">
      <c r="B65" s="85"/>
    </row>
    <row r="66" spans="2:2">
      <c r="B66" s="85"/>
    </row>
    <row r="67" spans="2:2">
      <c r="B67" s="85"/>
    </row>
    <row r="68" spans="2:2">
      <c r="B68" s="85"/>
    </row>
    <row r="69" spans="2:2">
      <c r="B69" s="85"/>
    </row>
    <row r="70" spans="2:2">
      <c r="B70" s="85"/>
    </row>
    <row r="71" spans="2:2">
      <c r="B71" s="85"/>
    </row>
    <row r="72" spans="2:2">
      <c r="B72" s="85"/>
    </row>
    <row r="73" spans="2:2">
      <c r="B73" s="85"/>
    </row>
    <row r="74" spans="2:2">
      <c r="B74" s="85"/>
    </row>
    <row r="75" spans="2:2">
      <c r="B75" s="85"/>
    </row>
    <row r="76" spans="2:2">
      <c r="B76" s="85"/>
    </row>
    <row r="77" spans="2:2">
      <c r="B77" s="85"/>
    </row>
    <row r="78" spans="2:2">
      <c r="B78" s="85"/>
    </row>
    <row r="79" spans="2:2">
      <c r="B79" s="85"/>
    </row>
    <row r="80" spans="2:2">
      <c r="B80" s="85"/>
    </row>
    <row r="81" spans="2:2">
      <c r="B81" s="85"/>
    </row>
  </sheetData>
  <sheetProtection algorithmName="SHA-512" hashValue="mDBJkKkQ60G2O3HbLmfpCZFVhpR/poD2uEx1e8g6EgvWoTnJGmxZf9sT2COQvIXwh2xS/rXJmp1xwU3XisLWRA==" saltValue="p8TOUjRpzFfs+ld3rn3PLg=="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9">
    <mergeCell ref="B50:L50"/>
    <mergeCell ref="B2:L2"/>
    <mergeCell ref="B3:L3"/>
    <mergeCell ref="B23:L23"/>
    <mergeCell ref="B33:L33"/>
    <mergeCell ref="C10:I10"/>
    <mergeCell ref="C11:I11"/>
    <mergeCell ref="C29:I29"/>
    <mergeCell ref="C39:I39"/>
  </mergeCells>
  <phoneticPr fontId="0" type="noConversion"/>
  <pageMargins left="0.25" right="0.25" top="0.5" bottom="0.5" header="0.25" footer="0.25"/>
  <pageSetup paperSize="5" orientation="portrait" r:id="rId5"/>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6">
    <pageSetUpPr fitToPage="1"/>
  </sheetPr>
  <dimension ref="B3:X66"/>
  <sheetViews>
    <sheetView topLeftCell="A55" zoomScaleNormal="100" workbookViewId="0">
      <selection activeCell="B3" sqref="B3:O3"/>
    </sheetView>
  </sheetViews>
  <sheetFormatPr defaultRowHeight="13.2"/>
  <cols>
    <col min="1" max="1" width="4.6640625" customWidth="1"/>
    <col min="2" max="2" width="3.5546875" bestFit="1" customWidth="1"/>
    <col min="3" max="3" width="4.6640625" customWidth="1"/>
    <col min="4" max="4" width="12.88671875" bestFit="1" customWidth="1"/>
    <col min="5" max="5" width="7.6640625" customWidth="1"/>
    <col min="6" max="6" width="6.88671875" customWidth="1"/>
    <col min="7" max="7" width="1.6640625" customWidth="1"/>
    <col min="8" max="8" width="12.5546875" bestFit="1" customWidth="1"/>
    <col min="9" max="9" width="1.6640625" customWidth="1"/>
    <col min="10" max="10" width="11.88671875" bestFit="1" customWidth="1"/>
    <col min="11" max="11" width="1.6640625" customWidth="1"/>
    <col min="12" max="12" width="17.5546875" customWidth="1"/>
    <col min="13" max="13" width="1.6640625" customWidth="1"/>
    <col min="14" max="14" width="14.6640625" customWidth="1"/>
    <col min="16" max="16" width="10.33203125" bestFit="1" customWidth="1"/>
  </cols>
  <sheetData>
    <row r="3" spans="2:24" ht="20.399999999999999">
      <c r="B3" s="1508" t="s">
        <v>1129</v>
      </c>
      <c r="C3" s="1508"/>
      <c r="D3" s="1508"/>
      <c r="E3" s="1508"/>
      <c r="F3" s="1508"/>
      <c r="G3" s="1508"/>
      <c r="H3" s="1508"/>
      <c r="I3" s="1508"/>
      <c r="J3" s="1508"/>
      <c r="K3" s="1508"/>
      <c r="L3" s="1508"/>
      <c r="M3" s="1508"/>
      <c r="N3" s="1508"/>
    </row>
    <row r="4" spans="2:24" ht="15.6">
      <c r="B4" s="1638" t="s">
        <v>540</v>
      </c>
      <c r="C4" s="1638"/>
      <c r="D4" s="1638"/>
      <c r="E4" s="1638"/>
      <c r="F4" s="1638"/>
      <c r="G4" s="1638"/>
      <c r="H4" s="1638"/>
      <c r="I4" s="1638"/>
      <c r="J4" s="1638"/>
      <c r="K4" s="1638"/>
      <c r="L4" s="1638"/>
      <c r="M4" s="1638"/>
      <c r="N4" s="1638"/>
    </row>
    <row r="5" spans="2:24" ht="20.399999999999999">
      <c r="B5" s="1508" t="s">
        <v>541</v>
      </c>
      <c r="C5" s="1508"/>
      <c r="D5" s="1508"/>
      <c r="E5" s="1508"/>
      <c r="F5" s="1508"/>
      <c r="G5" s="1508"/>
      <c r="H5" s="1508"/>
      <c r="I5" s="1508"/>
      <c r="J5" s="1508"/>
      <c r="K5" s="1508"/>
      <c r="L5" s="1508"/>
      <c r="M5" s="1508"/>
      <c r="N5" s="1508"/>
    </row>
    <row r="6" spans="2:24">
      <c r="B6" s="1511" t="s">
        <v>3648</v>
      </c>
      <c r="C6" s="1511"/>
      <c r="D6" s="1511"/>
      <c r="E6" s="1511"/>
      <c r="F6" s="1511"/>
      <c r="G6" s="1511"/>
      <c r="H6" s="1511"/>
      <c r="I6" s="1511"/>
      <c r="J6" s="1511"/>
      <c r="K6" s="1511"/>
      <c r="L6" s="1511"/>
      <c r="M6" s="1511"/>
      <c r="N6" s="1511"/>
    </row>
    <row r="7" spans="2:24">
      <c r="B7" s="1511" t="s">
        <v>3647</v>
      </c>
      <c r="C7" s="1511"/>
      <c r="D7" s="1511"/>
      <c r="E7" s="1511"/>
      <c r="F7" s="1511"/>
      <c r="G7" s="1511"/>
      <c r="H7" s="1511"/>
      <c r="I7" s="1511"/>
      <c r="J7" s="1511"/>
      <c r="K7" s="1511"/>
      <c r="L7" s="1511"/>
      <c r="M7" s="1511"/>
      <c r="N7" s="1511"/>
    </row>
    <row r="8" spans="2:24">
      <c r="P8" s="322"/>
      <c r="Q8" s="322"/>
      <c r="R8" s="322"/>
      <c r="S8" s="322"/>
      <c r="T8" s="322"/>
      <c r="U8" s="322"/>
      <c r="V8" s="322"/>
      <c r="W8" s="322"/>
      <c r="X8" s="322"/>
    </row>
    <row r="9" spans="2:24">
      <c r="H9" s="1" t="s">
        <v>533</v>
      </c>
      <c r="P9" s="322"/>
      <c r="Q9" s="322"/>
      <c r="R9" s="322"/>
      <c r="S9" s="322"/>
      <c r="T9" s="322"/>
      <c r="U9" s="322"/>
      <c r="V9" s="322"/>
      <c r="W9" s="322"/>
      <c r="X9" s="322"/>
    </row>
    <row r="10" spans="2:24">
      <c r="C10" s="1572" t="s">
        <v>553</v>
      </c>
      <c r="D10" s="1572"/>
      <c r="E10" s="1572"/>
      <c r="H10" s="297" t="str">
        <f>'KEY INPUTS'!D45</f>
        <v>Dec. 31, 2018</v>
      </c>
      <c r="J10" s="1" t="s">
        <v>554</v>
      </c>
      <c r="L10" s="1" t="s">
        <v>533</v>
      </c>
      <c r="N10" s="995" t="s">
        <v>671</v>
      </c>
      <c r="P10" s="322"/>
      <c r="Q10" s="322"/>
      <c r="R10" s="322"/>
      <c r="S10" s="322"/>
      <c r="T10" s="322"/>
      <c r="U10" s="322"/>
      <c r="V10" s="322"/>
      <c r="W10" s="322"/>
      <c r="X10" s="322"/>
    </row>
    <row r="11" spans="2:24">
      <c r="H11" s="1" t="s">
        <v>552</v>
      </c>
      <c r="J11" s="1">
        <f>'KEY INPUTS'!D34</f>
        <v>2019</v>
      </c>
      <c r="L11" s="1" t="s">
        <v>555</v>
      </c>
      <c r="N11" s="995" t="s">
        <v>556</v>
      </c>
      <c r="P11" s="322"/>
      <c r="Q11" s="322"/>
      <c r="R11" s="322"/>
      <c r="S11" s="322"/>
      <c r="T11" s="322"/>
      <c r="U11" s="322"/>
      <c r="V11" s="322"/>
      <c r="W11" s="322"/>
      <c r="X11" s="322"/>
    </row>
    <row r="12" spans="2:24">
      <c r="H12" s="130" t="s">
        <v>551</v>
      </c>
      <c r="J12" s="130" t="s">
        <v>676</v>
      </c>
      <c r="L12" s="290" t="str">
        <f>"from "&amp;TEXT('KEY INPUTS'!D34,"0")</f>
        <v>from 2019</v>
      </c>
      <c r="N12" s="1068" t="str">
        <f>'KEY INPUTS'!D46</f>
        <v>Dec. 31, 2019</v>
      </c>
      <c r="P12" s="322"/>
      <c r="Q12" s="322"/>
      <c r="R12" s="322"/>
      <c r="S12" s="322"/>
      <c r="T12" s="322"/>
      <c r="U12" s="322"/>
      <c r="V12" s="322"/>
      <c r="W12" s="322"/>
      <c r="X12" s="322"/>
    </row>
    <row r="13" spans="2:24">
      <c r="B13" s="85"/>
      <c r="C13" t="s">
        <v>1130</v>
      </c>
      <c r="H13" s="65"/>
      <c r="J13" s="65"/>
      <c r="L13" s="65"/>
      <c r="N13" s="1069"/>
      <c r="P13" s="322"/>
      <c r="Q13" s="322"/>
      <c r="R13" s="322"/>
      <c r="S13" s="322"/>
      <c r="T13" s="322"/>
      <c r="U13" s="322"/>
      <c r="V13" s="322"/>
      <c r="W13" s="322"/>
      <c r="X13" s="322"/>
    </row>
    <row r="14" spans="2:24">
      <c r="B14" s="85"/>
      <c r="D14" t="s">
        <v>1131</v>
      </c>
      <c r="G14" t="s">
        <v>482</v>
      </c>
      <c r="H14" s="580"/>
      <c r="I14" t="s">
        <v>482</v>
      </c>
      <c r="J14" s="580"/>
      <c r="K14" t="s">
        <v>482</v>
      </c>
      <c r="L14" s="580"/>
      <c r="M14" t="s">
        <v>482</v>
      </c>
      <c r="N14" s="849">
        <f>+H14-J14+L14</f>
        <v>0</v>
      </c>
      <c r="P14" s="322"/>
      <c r="Q14" s="322"/>
      <c r="R14" s="322"/>
      <c r="S14" s="322"/>
      <c r="T14" s="322"/>
      <c r="U14" s="322"/>
      <c r="V14" s="322"/>
      <c r="W14" s="322"/>
      <c r="X14" s="322"/>
    </row>
    <row r="15" spans="2:24">
      <c r="B15" s="85"/>
      <c r="H15" s="65"/>
      <c r="J15" s="65"/>
      <c r="L15" s="65"/>
      <c r="N15" s="841"/>
      <c r="P15" s="322"/>
      <c r="Q15" s="377"/>
      <c r="R15" s="322"/>
      <c r="S15" s="322"/>
      <c r="T15" s="322"/>
      <c r="U15" s="322"/>
      <c r="V15" s="322"/>
      <c r="W15" s="322"/>
      <c r="X15" s="322"/>
    </row>
    <row r="16" spans="2:24">
      <c r="B16" s="85"/>
      <c r="C16" t="s">
        <v>1130</v>
      </c>
      <c r="H16" s="65"/>
      <c r="J16" s="65"/>
      <c r="L16" s="65"/>
      <c r="N16" s="841"/>
      <c r="P16" s="322"/>
      <c r="Q16" s="322"/>
      <c r="R16" s="322"/>
      <c r="S16" s="322"/>
      <c r="T16" s="322"/>
      <c r="U16" s="322"/>
      <c r="V16" s="322"/>
      <c r="W16" s="322"/>
      <c r="X16" s="322"/>
    </row>
    <row r="17" spans="2:24">
      <c r="B17" s="85"/>
      <c r="D17" t="s">
        <v>1132</v>
      </c>
      <c r="G17" t="s">
        <v>482</v>
      </c>
      <c r="H17" s="580"/>
      <c r="I17" t="s">
        <v>482</v>
      </c>
      <c r="J17" s="580"/>
      <c r="K17" t="s">
        <v>482</v>
      </c>
      <c r="L17" s="580"/>
      <c r="M17" t="s">
        <v>482</v>
      </c>
      <c r="N17" s="849">
        <f>+H17-J17+L17</f>
        <v>0</v>
      </c>
      <c r="P17" s="322"/>
      <c r="Q17" s="322"/>
      <c r="R17" s="322"/>
      <c r="S17" s="322"/>
      <c r="T17" s="322"/>
      <c r="U17" s="322"/>
      <c r="V17" s="322"/>
      <c r="W17" s="322"/>
      <c r="X17" s="322"/>
    </row>
    <row r="18" spans="2:24" ht="21" customHeight="1">
      <c r="B18" s="85"/>
      <c r="C18" s="772" t="s">
        <v>3773</v>
      </c>
      <c r="D18" s="30"/>
      <c r="E18" s="30"/>
      <c r="F18" s="30"/>
      <c r="G18" s="322" t="s">
        <v>482</v>
      </c>
      <c r="H18" s="580"/>
      <c r="I18" s="322" t="s">
        <v>482</v>
      </c>
      <c r="J18" s="580"/>
      <c r="K18" s="322" t="s">
        <v>482</v>
      </c>
      <c r="L18" s="580"/>
      <c r="M18" s="322" t="s">
        <v>482</v>
      </c>
      <c r="N18" s="849">
        <f>+H18-J18+L18</f>
        <v>0</v>
      </c>
      <c r="P18" s="322"/>
      <c r="Q18" s="322"/>
      <c r="R18" s="322"/>
      <c r="S18" s="322"/>
      <c r="T18" s="322"/>
      <c r="U18" s="322"/>
      <c r="V18" s="322"/>
      <c r="W18" s="322"/>
      <c r="X18" s="322"/>
    </row>
    <row r="19" spans="2:24" ht="21" customHeight="1">
      <c r="B19" s="85"/>
      <c r="C19" s="1563"/>
      <c r="D19" s="1563"/>
      <c r="E19" s="1563"/>
      <c r="F19" s="1563"/>
      <c r="G19" s="322" t="s">
        <v>482</v>
      </c>
      <c r="H19" s="580"/>
      <c r="I19" s="322" t="s">
        <v>482</v>
      </c>
      <c r="J19" s="580"/>
      <c r="K19" s="322" t="s">
        <v>482</v>
      </c>
      <c r="L19" s="580"/>
      <c r="M19" s="322" t="s">
        <v>482</v>
      </c>
      <c r="N19" s="849">
        <f t="shared" ref="N19:N24" si="0">+H19-J19+L19</f>
        <v>0</v>
      </c>
      <c r="P19" s="322"/>
      <c r="Q19" s="322"/>
      <c r="R19" s="322"/>
      <c r="S19" s="322"/>
      <c r="T19" s="322"/>
      <c r="U19" s="322"/>
      <c r="V19" s="322"/>
      <c r="W19" s="322"/>
      <c r="X19" s="322"/>
    </row>
    <row r="20" spans="2:24" ht="21" customHeight="1">
      <c r="B20" s="85"/>
      <c r="C20" s="1563"/>
      <c r="D20" s="1563"/>
      <c r="E20" s="1563"/>
      <c r="F20" s="1563"/>
      <c r="G20" s="322" t="s">
        <v>482</v>
      </c>
      <c r="H20" s="580"/>
      <c r="I20" s="322" t="s">
        <v>482</v>
      </c>
      <c r="J20" s="580"/>
      <c r="K20" s="322" t="s">
        <v>482</v>
      </c>
      <c r="L20" s="580"/>
      <c r="M20" s="322" t="s">
        <v>482</v>
      </c>
      <c r="N20" s="849">
        <f t="shared" si="0"/>
        <v>0</v>
      </c>
      <c r="P20" s="322"/>
      <c r="Q20" s="322"/>
      <c r="R20" s="322"/>
      <c r="S20" s="322"/>
      <c r="T20" s="322"/>
      <c r="U20" s="322"/>
      <c r="V20" s="322"/>
      <c r="W20" s="322"/>
      <c r="X20" s="322"/>
    </row>
    <row r="21" spans="2:24" ht="21" customHeight="1">
      <c r="B21" s="85"/>
      <c r="C21" s="1563"/>
      <c r="D21" s="1563"/>
      <c r="E21" s="1563"/>
      <c r="F21" s="1563"/>
      <c r="G21" s="322" t="s">
        <v>482</v>
      </c>
      <c r="H21" s="580"/>
      <c r="I21" s="322" t="s">
        <v>482</v>
      </c>
      <c r="J21" s="580"/>
      <c r="K21" s="322" t="s">
        <v>482</v>
      </c>
      <c r="L21" s="580"/>
      <c r="M21" s="322" t="s">
        <v>482</v>
      </c>
      <c r="N21" s="849">
        <f t="shared" si="0"/>
        <v>0</v>
      </c>
      <c r="P21" s="322"/>
      <c r="Q21" s="322"/>
      <c r="R21" s="322"/>
      <c r="S21" s="322"/>
      <c r="T21" s="322"/>
      <c r="U21" s="322"/>
      <c r="V21" s="322"/>
      <c r="W21" s="322"/>
      <c r="X21" s="322"/>
    </row>
    <row r="22" spans="2:24" ht="21" customHeight="1">
      <c r="B22" s="85"/>
      <c r="C22" s="1563"/>
      <c r="D22" s="1563"/>
      <c r="E22" s="1563"/>
      <c r="F22" s="1563"/>
      <c r="G22" s="322" t="s">
        <v>482</v>
      </c>
      <c r="H22" s="580"/>
      <c r="I22" s="322" t="s">
        <v>482</v>
      </c>
      <c r="J22" s="580"/>
      <c r="K22" s="322" t="s">
        <v>482</v>
      </c>
      <c r="L22" s="580"/>
      <c r="M22" s="322" t="s">
        <v>482</v>
      </c>
      <c r="N22" s="849">
        <f t="shared" si="0"/>
        <v>0</v>
      </c>
      <c r="P22" s="322"/>
      <c r="Q22" s="322"/>
      <c r="R22" s="322"/>
      <c r="S22" s="322"/>
      <c r="T22" s="322"/>
      <c r="U22" s="322"/>
      <c r="V22" s="322"/>
      <c r="W22" s="322"/>
      <c r="X22" s="322"/>
    </row>
    <row r="23" spans="2:24" ht="21" customHeight="1">
      <c r="B23" s="85"/>
      <c r="C23" s="1563"/>
      <c r="D23" s="1563"/>
      <c r="E23" s="1563"/>
      <c r="F23" s="1563"/>
      <c r="G23" s="322" t="s">
        <v>482</v>
      </c>
      <c r="H23" s="580"/>
      <c r="I23" s="322" t="s">
        <v>482</v>
      </c>
      <c r="J23" s="580"/>
      <c r="K23" s="322" t="s">
        <v>482</v>
      </c>
      <c r="L23" s="580"/>
      <c r="M23" s="322" t="s">
        <v>482</v>
      </c>
      <c r="N23" s="849">
        <f t="shared" si="0"/>
        <v>0</v>
      </c>
      <c r="P23" s="322"/>
      <c r="Q23" s="322"/>
      <c r="R23" s="322"/>
      <c r="S23" s="322"/>
      <c r="T23" s="322"/>
      <c r="U23" s="322"/>
      <c r="V23" s="322"/>
      <c r="W23" s="322"/>
      <c r="X23" s="322"/>
    </row>
    <row r="24" spans="2:24" ht="21" customHeight="1">
      <c r="B24" s="85"/>
      <c r="C24" s="1563"/>
      <c r="D24" s="1563"/>
      <c r="E24" s="1563"/>
      <c r="F24" s="1563"/>
      <c r="G24" s="322" t="s">
        <v>482</v>
      </c>
      <c r="H24" s="580"/>
      <c r="I24" s="322" t="s">
        <v>482</v>
      </c>
      <c r="J24" s="580"/>
      <c r="K24" s="322" t="s">
        <v>482</v>
      </c>
      <c r="L24" s="580"/>
      <c r="M24" s="322" t="s">
        <v>482</v>
      </c>
      <c r="N24" s="849">
        <f t="shared" si="0"/>
        <v>0</v>
      </c>
      <c r="P24" s="322"/>
      <c r="Q24" s="322"/>
      <c r="R24" s="322"/>
      <c r="S24" s="322"/>
      <c r="T24" s="322"/>
      <c r="U24" s="322"/>
      <c r="V24" s="322"/>
      <c r="W24" s="322"/>
      <c r="X24" s="322"/>
    </row>
    <row r="25" spans="2:24" ht="21" customHeight="1">
      <c r="B25" s="984"/>
      <c r="C25" s="1070" t="s">
        <v>3528</v>
      </c>
      <c r="D25" s="1071"/>
      <c r="E25" s="1071"/>
      <c r="F25" s="1071"/>
      <c r="G25" s="853" t="s">
        <v>482</v>
      </c>
      <c r="H25" s="849">
        <f>SUM(H14:H24)</f>
        <v>0</v>
      </c>
      <c r="I25" s="839" t="s">
        <v>482</v>
      </c>
      <c r="J25" s="849">
        <f>SUM(J14:J24)</f>
        <v>0</v>
      </c>
      <c r="K25" s="839" t="s">
        <v>482</v>
      </c>
      <c r="L25" s="849">
        <f>SUM(L14:L24)</f>
        <v>0</v>
      </c>
      <c r="M25" s="839" t="s">
        <v>482</v>
      </c>
      <c r="N25" s="849">
        <f>SUM(N14:N24)</f>
        <v>0</v>
      </c>
      <c r="P25" s="322"/>
      <c r="Q25" s="322"/>
      <c r="R25" s="322"/>
      <c r="S25" s="322"/>
      <c r="T25" s="322"/>
      <c r="U25" s="322"/>
      <c r="V25" s="322"/>
      <c r="W25" s="322"/>
      <c r="X25" s="322"/>
    </row>
    <row r="26" spans="2:24">
      <c r="B26" s="85"/>
      <c r="P26" s="322"/>
      <c r="Q26" s="322"/>
      <c r="R26" s="322"/>
      <c r="S26" s="322"/>
      <c r="T26" s="322"/>
      <c r="U26" s="322"/>
      <c r="V26" s="322"/>
      <c r="W26" s="322"/>
      <c r="X26" s="322"/>
    </row>
    <row r="27" spans="2:24">
      <c r="B27" s="85"/>
      <c r="C27" s="118" t="s">
        <v>1133</v>
      </c>
    </row>
    <row r="28" spans="2:24">
      <c r="B28" s="85"/>
    </row>
    <row r="29" spans="2:24">
      <c r="B29" s="85"/>
    </row>
    <row r="30" spans="2:24" ht="15.6">
      <c r="B30" s="1636" t="s">
        <v>3646</v>
      </c>
      <c r="C30" s="1636"/>
      <c r="D30" s="1636"/>
      <c r="E30" s="1636"/>
      <c r="F30" s="1636"/>
      <c r="G30" s="1636"/>
      <c r="H30" s="1636"/>
      <c r="I30" s="1636"/>
      <c r="J30" s="1636"/>
      <c r="K30" s="1636"/>
      <c r="L30" s="1636"/>
      <c r="M30" s="1636"/>
      <c r="N30" s="1636"/>
    </row>
    <row r="31" spans="2:24" ht="15.6">
      <c r="B31" s="1636" t="s">
        <v>3649</v>
      </c>
      <c r="C31" s="1636"/>
      <c r="D31" s="1636"/>
      <c r="E31" s="1636"/>
      <c r="F31" s="1636"/>
      <c r="G31" s="1636"/>
      <c r="H31" s="1636"/>
      <c r="I31" s="1636"/>
      <c r="J31" s="1636"/>
      <c r="K31" s="1636"/>
      <c r="L31" s="1636"/>
      <c r="M31" s="1636"/>
      <c r="N31" s="1636"/>
    </row>
    <row r="32" spans="2:24" ht="6.75" customHeight="1">
      <c r="B32" s="129"/>
      <c r="C32" s="129"/>
      <c r="D32" s="129"/>
      <c r="E32" s="129"/>
      <c r="F32" s="129"/>
      <c r="G32" s="129"/>
      <c r="H32" s="129"/>
      <c r="I32" s="129"/>
      <c r="J32" s="129"/>
      <c r="K32" s="129"/>
      <c r="L32" s="129"/>
      <c r="M32" s="129"/>
      <c r="N32" s="129"/>
    </row>
    <row r="33" spans="2:14" ht="18" customHeight="1">
      <c r="B33" s="85"/>
      <c r="D33" s="1637" t="s">
        <v>18</v>
      </c>
      <c r="E33" s="1637"/>
      <c r="F33" s="106"/>
      <c r="G33" s="1637" t="s">
        <v>532</v>
      </c>
      <c r="H33" s="1637"/>
      <c r="I33" s="1637"/>
      <c r="J33" s="1637"/>
      <c r="K33" s="1637"/>
      <c r="L33" s="1637"/>
      <c r="M33" s="106"/>
      <c r="N33" s="131" t="s">
        <v>533</v>
      </c>
    </row>
    <row r="34" spans="2:14" ht="21" customHeight="1">
      <c r="B34" s="85"/>
      <c r="C34" s="85" t="s">
        <v>384</v>
      </c>
      <c r="D34" s="1640"/>
      <c r="E34" s="1640"/>
      <c r="G34" s="1639"/>
      <c r="H34" s="1639"/>
      <c r="I34" s="1639"/>
      <c r="J34" s="1639"/>
      <c r="K34" s="1639"/>
      <c r="L34" s="1639"/>
      <c r="M34" t="s">
        <v>482</v>
      </c>
      <c r="N34" s="580"/>
    </row>
    <row r="35" spans="2:14" ht="21" customHeight="1">
      <c r="B35" s="85"/>
      <c r="C35" s="85" t="s">
        <v>385</v>
      </c>
      <c r="D35" s="1640"/>
      <c r="E35" s="1640"/>
      <c r="F35" s="322"/>
      <c r="G35" s="1639"/>
      <c r="H35" s="1639"/>
      <c r="I35" s="1639"/>
      <c r="J35" s="1639"/>
      <c r="K35" s="1639"/>
      <c r="L35" s="1639"/>
      <c r="M35" s="322" t="s">
        <v>482</v>
      </c>
      <c r="N35" s="580"/>
    </row>
    <row r="36" spans="2:14" ht="21" customHeight="1">
      <c r="B36" s="85"/>
      <c r="C36" s="85" t="s">
        <v>386</v>
      </c>
      <c r="D36" s="1640"/>
      <c r="E36" s="1640"/>
      <c r="F36" s="322"/>
      <c r="G36" s="1639"/>
      <c r="H36" s="1639"/>
      <c r="I36" s="1639"/>
      <c r="J36" s="1639"/>
      <c r="K36" s="1639"/>
      <c r="L36" s="1639"/>
      <c r="M36" s="322" t="s">
        <v>482</v>
      </c>
      <c r="N36" s="580"/>
    </row>
    <row r="37" spans="2:14" ht="21" customHeight="1">
      <c r="B37" s="85"/>
      <c r="C37" s="85" t="s">
        <v>387</v>
      </c>
      <c r="D37" s="1640"/>
      <c r="E37" s="1640"/>
      <c r="F37" s="322"/>
      <c r="G37" s="1639"/>
      <c r="H37" s="1639"/>
      <c r="I37" s="1639"/>
      <c r="J37" s="1639"/>
      <c r="K37" s="1639"/>
      <c r="L37" s="1639"/>
      <c r="M37" s="322" t="s">
        <v>482</v>
      </c>
      <c r="N37" s="580"/>
    </row>
    <row r="38" spans="2:14" ht="21" customHeight="1">
      <c r="B38" s="85"/>
      <c r="C38" s="85" t="s">
        <v>388</v>
      </c>
      <c r="D38" s="1640"/>
      <c r="E38" s="1640"/>
      <c r="F38" s="322"/>
      <c r="G38" s="1639"/>
      <c r="H38" s="1639"/>
      <c r="I38" s="1639"/>
      <c r="J38" s="1639"/>
      <c r="K38" s="1639"/>
      <c r="L38" s="1639"/>
      <c r="M38" s="322" t="s">
        <v>482</v>
      </c>
      <c r="N38" s="580"/>
    </row>
    <row r="39" spans="2:14">
      <c r="B39" s="85"/>
    </row>
    <row r="40" spans="2:14">
      <c r="B40" s="85"/>
    </row>
    <row r="41" spans="2:14">
      <c r="B41" s="85"/>
    </row>
    <row r="42" spans="2:14" ht="15.6">
      <c r="B42" s="1636" t="s">
        <v>322</v>
      </c>
      <c r="C42" s="1636"/>
      <c r="D42" s="1636"/>
      <c r="E42" s="1636"/>
      <c r="F42" s="1636"/>
      <c r="G42" s="1636"/>
      <c r="H42" s="1636"/>
      <c r="I42" s="1636"/>
      <c r="J42" s="1636"/>
      <c r="K42" s="1636"/>
      <c r="L42" s="1636"/>
      <c r="M42" s="1636"/>
      <c r="N42" s="1636"/>
    </row>
    <row r="43" spans="2:14">
      <c r="B43" s="85"/>
    </row>
    <row r="44" spans="2:14">
      <c r="B44" s="85"/>
      <c r="N44" s="1" t="s">
        <v>538</v>
      </c>
    </row>
    <row r="45" spans="2:14">
      <c r="B45" s="85"/>
      <c r="N45" s="1" t="s">
        <v>539</v>
      </c>
    </row>
    <row r="46" spans="2:14">
      <c r="B46" s="85"/>
      <c r="D46" s="1572" t="s">
        <v>535</v>
      </c>
      <c r="E46" s="1572"/>
      <c r="H46" s="1572" t="s">
        <v>536</v>
      </c>
      <c r="I46" s="1572"/>
      <c r="J46" s="130" t="s">
        <v>537</v>
      </c>
      <c r="L46" s="130" t="s">
        <v>533</v>
      </c>
      <c r="N46" s="290" t="str">
        <f>"Year "&amp;TEXT('KEY INPUTS'!D33,"0")</f>
        <v>Year 2020</v>
      </c>
    </row>
    <row r="47" spans="2:14">
      <c r="B47" s="85"/>
    </row>
    <row r="48" spans="2:14" ht="21" customHeight="1">
      <c r="B48" s="85"/>
      <c r="C48" s="85" t="s">
        <v>384</v>
      </c>
      <c r="D48" s="1641"/>
      <c r="E48" s="1641"/>
      <c r="F48" s="1641"/>
      <c r="G48" s="30"/>
      <c r="H48" s="580"/>
      <c r="I48" s="30"/>
      <c r="J48" s="580"/>
      <c r="K48" t="s">
        <v>482</v>
      </c>
      <c r="L48" s="580"/>
      <c r="M48" s="65"/>
      <c r="N48" s="580"/>
    </row>
    <row r="49" spans="2:14" ht="21" customHeight="1">
      <c r="B49" s="85"/>
      <c r="C49" s="85" t="s">
        <v>385</v>
      </c>
      <c r="D49" s="1641"/>
      <c r="E49" s="1641"/>
      <c r="F49" s="1641"/>
      <c r="G49" s="284"/>
      <c r="H49" s="580"/>
      <c r="I49" s="284"/>
      <c r="J49" s="580"/>
      <c r="K49" s="322" t="s">
        <v>482</v>
      </c>
      <c r="L49" s="580"/>
      <c r="M49" s="287"/>
      <c r="N49" s="580"/>
    </row>
    <row r="50" spans="2:14" ht="21" customHeight="1">
      <c r="B50" s="85"/>
      <c r="C50" s="85" t="s">
        <v>386</v>
      </c>
      <c r="D50" s="1641"/>
      <c r="E50" s="1641"/>
      <c r="F50" s="1641"/>
      <c r="G50" s="284"/>
      <c r="H50" s="580"/>
      <c r="I50" s="284"/>
      <c r="J50" s="580"/>
      <c r="K50" s="322" t="s">
        <v>482</v>
      </c>
      <c r="L50" s="580"/>
      <c r="M50" s="287"/>
      <c r="N50" s="580"/>
    </row>
    <row r="51" spans="2:14" ht="21" customHeight="1">
      <c r="B51" s="85"/>
      <c r="C51" s="85" t="s">
        <v>387</v>
      </c>
      <c r="D51" s="1641"/>
      <c r="E51" s="1641"/>
      <c r="F51" s="1641"/>
      <c r="G51" s="284"/>
      <c r="H51" s="580"/>
      <c r="I51" s="284"/>
      <c r="J51" s="580"/>
      <c r="K51" s="322" t="s">
        <v>482</v>
      </c>
      <c r="L51" s="580"/>
      <c r="M51" s="287"/>
      <c r="N51" s="580"/>
    </row>
    <row r="52" spans="2:14">
      <c r="B52" s="85"/>
      <c r="L52" s="65"/>
      <c r="M52" s="65"/>
      <c r="N52" s="65"/>
    </row>
    <row r="53" spans="2:14">
      <c r="B53" s="85"/>
    </row>
    <row r="54" spans="2:14">
      <c r="B54" s="85"/>
    </row>
    <row r="55" spans="2:14">
      <c r="B55" s="85"/>
    </row>
    <row r="56" spans="2:14">
      <c r="B56" s="85"/>
    </row>
    <row r="57" spans="2:14">
      <c r="B57" s="85"/>
    </row>
    <row r="58" spans="2:14" ht="13.8">
      <c r="B58" s="1573" t="s">
        <v>534</v>
      </c>
      <c r="C58" s="1573"/>
      <c r="D58" s="1573"/>
      <c r="E58" s="1573"/>
      <c r="F58" s="1573"/>
      <c r="G58" s="1573"/>
      <c r="H58" s="1573"/>
      <c r="I58" s="1573"/>
      <c r="J58" s="1573"/>
      <c r="K58" s="1573"/>
      <c r="L58" s="1573"/>
      <c r="M58" s="1573"/>
      <c r="N58" s="1573"/>
    </row>
    <row r="59" spans="2:14">
      <c r="B59" s="85"/>
    </row>
    <row r="60" spans="2:14">
      <c r="B60" s="85"/>
    </row>
    <row r="61" spans="2:14">
      <c r="B61" s="85"/>
    </row>
    <row r="62" spans="2:14">
      <c r="B62" s="85"/>
    </row>
    <row r="63" spans="2:14">
      <c r="B63" s="85"/>
    </row>
    <row r="64" spans="2:14">
      <c r="B64" s="85"/>
    </row>
    <row r="65" spans="2:2">
      <c r="B65" s="85"/>
    </row>
    <row r="66" spans="2:2">
      <c r="B66" s="85"/>
    </row>
  </sheetData>
  <sheetProtection algorithmName="SHA-512" hashValue="o+OdAhF0379NTm9Dv06Ww/qa5CdI5HMSwu1QrHeeCVZ2NzO3i6pTYpfpwgfoB5JgDeJGbT1C9+gos9N6VcE37g==" saltValue="DxxBZPgdQSWSKCA2ND/VY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topLeftCell="A28">
      <selection activeCell="B1" sqref="B1"/>
      <pageMargins left="0.25" right="0.25" top="0.5" bottom="0.5" header="0.25" footer="0.25"/>
      <pageSetup paperSize="5" orientation="portrait" r:id="rId4"/>
      <headerFooter alignWithMargins="0"/>
    </customSheetView>
  </customSheetViews>
  <mergeCells count="34">
    <mergeCell ref="D36:E36"/>
    <mergeCell ref="D37:E37"/>
    <mergeCell ref="D38:E38"/>
    <mergeCell ref="B58:N58"/>
    <mergeCell ref="B42:N42"/>
    <mergeCell ref="D46:E46"/>
    <mergeCell ref="H46:I46"/>
    <mergeCell ref="G36:L36"/>
    <mergeCell ref="G37:L37"/>
    <mergeCell ref="G38:L38"/>
    <mergeCell ref="D48:F48"/>
    <mergeCell ref="D49:F49"/>
    <mergeCell ref="D50:F50"/>
    <mergeCell ref="D51:F51"/>
    <mergeCell ref="G34:L34"/>
    <mergeCell ref="G35:L35"/>
    <mergeCell ref="C20:F20"/>
    <mergeCell ref="C19:F19"/>
    <mergeCell ref="C21:F21"/>
    <mergeCell ref="D34:E34"/>
    <mergeCell ref="D35:E35"/>
    <mergeCell ref="B3:N3"/>
    <mergeCell ref="B30:N30"/>
    <mergeCell ref="B31:N31"/>
    <mergeCell ref="D33:E33"/>
    <mergeCell ref="G33:L33"/>
    <mergeCell ref="B4:N4"/>
    <mergeCell ref="B5:N5"/>
    <mergeCell ref="B6:N6"/>
    <mergeCell ref="B7:N7"/>
    <mergeCell ref="C10:E10"/>
    <mergeCell ref="C22:F22"/>
    <mergeCell ref="C23:F23"/>
    <mergeCell ref="C24:F24"/>
  </mergeCells>
  <phoneticPr fontId="0" type="noConversion"/>
  <pageMargins left="0.25" right="0.25" top="0.5" bottom="0.5" header="0.25" footer="0.25"/>
  <pageSetup paperSize="5" orientation="portrait" r:id="rId5"/>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7">
    <pageSetUpPr fitToPage="1"/>
  </sheetPr>
  <dimension ref="A1:V36"/>
  <sheetViews>
    <sheetView topLeftCell="A16" workbookViewId="0">
      <selection activeCell="J29" sqref="J29"/>
    </sheetView>
  </sheetViews>
  <sheetFormatPr defaultRowHeight="13.2"/>
  <cols>
    <col min="1" max="1" width="5.6640625" customWidth="1"/>
    <col min="2" max="4" width="4.88671875" customWidth="1"/>
    <col min="5" max="5" width="46.6640625" customWidth="1"/>
    <col min="6" max="6" width="7.6640625" customWidth="1"/>
    <col min="7" max="8" width="16.6640625" customWidth="1"/>
    <col min="9" max="12" width="15.6640625" customWidth="1"/>
    <col min="13" max="13" width="10.44140625" bestFit="1" customWidth="1"/>
  </cols>
  <sheetData>
    <row r="1" spans="1:22">
      <c r="B1" s="853"/>
      <c r="C1" s="853"/>
      <c r="D1" s="853"/>
      <c r="E1" s="853"/>
      <c r="F1" s="853"/>
      <c r="G1" s="853"/>
      <c r="H1" s="853"/>
      <c r="I1" s="853"/>
      <c r="J1" s="853"/>
      <c r="K1" s="853"/>
      <c r="L1" s="853"/>
    </row>
    <row r="2" spans="1:22" ht="17.399999999999999">
      <c r="B2" s="1072"/>
      <c r="C2" s="1072" t="s">
        <v>609</v>
      </c>
      <c r="D2" s="853"/>
      <c r="E2" s="853"/>
      <c r="F2" s="853" t="s">
        <v>568</v>
      </c>
      <c r="G2" s="853"/>
      <c r="H2" s="853"/>
      <c r="I2" s="853"/>
      <c r="J2" s="853"/>
      <c r="K2" s="853"/>
      <c r="L2" s="853"/>
    </row>
    <row r="3" spans="1:22">
      <c r="B3" s="853"/>
      <c r="C3" s="853"/>
      <c r="D3" s="853"/>
      <c r="E3" s="853"/>
      <c r="F3" s="853" t="s">
        <v>610</v>
      </c>
      <c r="G3" s="853"/>
      <c r="H3" s="853"/>
      <c r="I3" s="853"/>
      <c r="J3" s="853"/>
      <c r="K3" s="853"/>
      <c r="L3" s="853"/>
    </row>
    <row r="4" spans="1:22">
      <c r="B4" s="853"/>
      <c r="C4" s="853"/>
      <c r="D4" s="853"/>
      <c r="E4" s="853"/>
      <c r="F4" s="853" t="s">
        <v>151</v>
      </c>
      <c r="G4" s="853"/>
      <c r="H4" s="853"/>
      <c r="I4" s="853"/>
      <c r="J4" s="853"/>
      <c r="K4" s="853"/>
      <c r="L4" s="853"/>
    </row>
    <row r="5" spans="1:22" ht="13.8" thickBot="1">
      <c r="B5" s="853"/>
      <c r="C5" s="853"/>
      <c r="D5" s="853"/>
      <c r="E5" s="853"/>
      <c r="F5" s="853"/>
      <c r="G5" s="853"/>
      <c r="H5" s="853"/>
      <c r="I5" s="853"/>
      <c r="J5" s="853"/>
      <c r="K5" s="853"/>
      <c r="L5" s="853"/>
    </row>
    <row r="6" spans="1:22" ht="13.8" thickTop="1">
      <c r="B6" s="886"/>
      <c r="C6" s="886"/>
      <c r="D6" s="886"/>
      <c r="E6" s="1073"/>
      <c r="F6" s="886"/>
      <c r="G6" s="887"/>
      <c r="H6" s="1074"/>
      <c r="I6" s="887"/>
      <c r="J6" s="886"/>
      <c r="K6" s="886"/>
      <c r="L6" s="863"/>
    </row>
    <row r="7" spans="1:22" ht="15.6">
      <c r="B7" s="1597" t="s">
        <v>18</v>
      </c>
      <c r="C7" s="1597"/>
      <c r="D7" s="1597"/>
      <c r="E7" s="1646" t="s">
        <v>532</v>
      </c>
      <c r="F7" s="1598"/>
      <c r="G7" s="889" t="s">
        <v>533</v>
      </c>
      <c r="H7" s="995" t="s">
        <v>561</v>
      </c>
      <c r="I7" s="889" t="s">
        <v>671</v>
      </c>
      <c r="J7" s="1643" t="str">
        <f>"REDUCED  IN  "&amp;TEXT('KEY INPUTS'!D34,"0")</f>
        <v>REDUCED  IN  2019</v>
      </c>
      <c r="K7" s="1644"/>
      <c r="L7" s="864" t="s">
        <v>671</v>
      </c>
      <c r="N7" s="322"/>
      <c r="O7" s="322"/>
      <c r="P7" s="322"/>
      <c r="Q7" s="322"/>
      <c r="R7" s="322"/>
      <c r="S7" s="322"/>
      <c r="T7" s="322"/>
      <c r="U7" s="322"/>
      <c r="V7" s="322"/>
    </row>
    <row r="8" spans="1:22">
      <c r="B8" s="853"/>
      <c r="C8" s="853"/>
      <c r="D8" s="853"/>
      <c r="E8" s="1075"/>
      <c r="F8" s="853"/>
      <c r="G8" s="889" t="s">
        <v>560</v>
      </c>
      <c r="H8" s="995" t="s">
        <v>562</v>
      </c>
      <c r="I8" s="892" t="str">
        <f>'KEY INPUTS'!D45</f>
        <v>Dec. 31, 2018</v>
      </c>
      <c r="J8" s="889" t="str">
        <f>"By "&amp;TEXT('KEY INPUTS'!D34,"0")</f>
        <v>By 2019</v>
      </c>
      <c r="K8" s="889" t="s">
        <v>558</v>
      </c>
      <c r="L8" s="865" t="str">
        <f>'KEY INPUTS'!D46</f>
        <v>Dec. 31, 2019</v>
      </c>
      <c r="N8" s="322"/>
      <c r="O8" s="322"/>
      <c r="P8" s="322"/>
      <c r="Q8" s="322"/>
      <c r="R8" s="322"/>
      <c r="S8" s="322"/>
      <c r="T8" s="322"/>
      <c r="U8" s="322"/>
      <c r="V8" s="322"/>
    </row>
    <row r="9" spans="1:22" ht="13.8" thickBot="1">
      <c r="B9" s="895"/>
      <c r="C9" s="895"/>
      <c r="D9" s="895"/>
      <c r="E9" s="898"/>
      <c r="F9" s="895"/>
      <c r="G9" s="897"/>
      <c r="H9" s="1076" t="s">
        <v>563</v>
      </c>
      <c r="I9" s="896"/>
      <c r="J9" s="897" t="s">
        <v>676</v>
      </c>
      <c r="K9" s="897" t="s">
        <v>559</v>
      </c>
      <c r="L9" s="866"/>
      <c r="N9" s="322"/>
      <c r="O9" s="322"/>
      <c r="P9" s="322"/>
      <c r="Q9" s="322"/>
      <c r="R9" s="322"/>
      <c r="S9" s="322"/>
      <c r="T9" s="322"/>
      <c r="U9" s="322"/>
      <c r="V9" s="322"/>
    </row>
    <row r="10" spans="1:22" ht="21" customHeight="1" thickTop="1">
      <c r="B10" s="1647"/>
      <c r="C10" s="1647"/>
      <c r="D10" s="1648"/>
      <c r="E10" s="592"/>
      <c r="F10" s="570"/>
      <c r="G10" s="593"/>
      <c r="H10" s="593"/>
      <c r="I10" s="594"/>
      <c r="J10" s="594"/>
      <c r="K10" s="594"/>
      <c r="L10" s="1077">
        <f>+I10-J10-K10</f>
        <v>0</v>
      </c>
      <c r="N10" s="322"/>
      <c r="O10" s="322"/>
      <c r="P10" s="322"/>
      <c r="Q10" s="322"/>
      <c r="R10" s="322"/>
      <c r="S10" s="322"/>
      <c r="T10" s="322"/>
      <c r="U10" s="322"/>
      <c r="V10" s="322"/>
    </row>
    <row r="11" spans="1:22" ht="21" customHeight="1">
      <c r="B11" s="1649"/>
      <c r="C11" s="1529"/>
      <c r="D11" s="1645"/>
      <c r="E11" s="595"/>
      <c r="F11" s="572"/>
      <c r="G11" s="581"/>
      <c r="H11" s="581"/>
      <c r="I11" s="374"/>
      <c r="J11" s="374"/>
      <c r="K11" s="374"/>
      <c r="L11" s="1078">
        <f>+I11-J11-K11</f>
        <v>0</v>
      </c>
      <c r="M11" s="228"/>
      <c r="N11" s="322"/>
      <c r="O11" s="322"/>
      <c r="P11" s="322"/>
      <c r="Q11" s="322"/>
      <c r="R11" s="322"/>
      <c r="S11" s="322"/>
      <c r="T11" s="322"/>
      <c r="U11" s="322"/>
      <c r="V11" s="322"/>
    </row>
    <row r="12" spans="1:22" ht="21" customHeight="1">
      <c r="B12" s="1649"/>
      <c r="C12" s="1529"/>
      <c r="D12" s="1645"/>
      <c r="E12" s="595"/>
      <c r="F12" s="572"/>
      <c r="G12" s="596"/>
      <c r="H12" s="581"/>
      <c r="I12" s="597"/>
      <c r="J12" s="374"/>
      <c r="K12" s="374"/>
      <c r="L12" s="1078">
        <f t="shared" ref="L12:L20" si="0">+I12-J12-K12</f>
        <v>0</v>
      </c>
      <c r="M12" s="228"/>
      <c r="N12" s="322"/>
      <c r="O12" s="322"/>
      <c r="P12" s="322"/>
      <c r="Q12" s="322"/>
      <c r="R12" s="322"/>
      <c r="S12" s="322"/>
      <c r="T12" s="322"/>
      <c r="U12" s="322"/>
      <c r="V12" s="322"/>
    </row>
    <row r="13" spans="1:22" ht="21" customHeight="1">
      <c r="B13" s="1529"/>
      <c r="C13" s="1529"/>
      <c r="D13" s="1645"/>
      <c r="E13" s="595"/>
      <c r="F13" s="572"/>
      <c r="G13" s="581"/>
      <c r="H13" s="581"/>
      <c r="I13" s="374"/>
      <c r="J13" s="374"/>
      <c r="K13" s="374"/>
      <c r="L13" s="1078">
        <f t="shared" si="0"/>
        <v>0</v>
      </c>
      <c r="N13" s="322"/>
      <c r="O13" s="322"/>
      <c r="P13" s="322"/>
      <c r="Q13" s="322"/>
      <c r="R13" s="322"/>
      <c r="S13" s="322"/>
      <c r="T13" s="322"/>
      <c r="U13" s="322"/>
      <c r="V13" s="322"/>
    </row>
    <row r="14" spans="1:22" ht="21" customHeight="1">
      <c r="B14" s="1649"/>
      <c r="C14" s="1529"/>
      <c r="D14" s="1645"/>
      <c r="E14" s="595"/>
      <c r="F14" s="572"/>
      <c r="G14" s="581"/>
      <c r="H14" s="581"/>
      <c r="I14" s="374"/>
      <c r="J14" s="374"/>
      <c r="K14" s="374"/>
      <c r="L14" s="1078">
        <f t="shared" si="0"/>
        <v>0</v>
      </c>
      <c r="N14" s="322"/>
      <c r="O14" s="377"/>
      <c r="P14" s="322"/>
      <c r="Q14" s="322"/>
      <c r="R14" s="322"/>
      <c r="S14" s="322"/>
      <c r="T14" s="322"/>
      <c r="U14" s="322"/>
      <c r="V14" s="322"/>
    </row>
    <row r="15" spans="1:22" ht="21" customHeight="1">
      <c r="B15" s="1649"/>
      <c r="C15" s="1529"/>
      <c r="D15" s="1645"/>
      <c r="E15" s="595"/>
      <c r="F15" s="572"/>
      <c r="G15" s="596"/>
      <c r="H15" s="581"/>
      <c r="I15" s="597"/>
      <c r="J15" s="374"/>
      <c r="K15" s="374"/>
      <c r="L15" s="1078">
        <f t="shared" si="0"/>
        <v>0</v>
      </c>
      <c r="N15" s="322"/>
      <c r="O15" s="322"/>
      <c r="P15" s="322"/>
      <c r="Q15" s="322"/>
      <c r="R15" s="322"/>
      <c r="S15" s="322"/>
      <c r="T15" s="322"/>
      <c r="U15" s="322"/>
      <c r="V15" s="322"/>
    </row>
    <row r="16" spans="1:22" ht="21" customHeight="1">
      <c r="A16" s="1577" t="s">
        <v>557</v>
      </c>
      <c r="B16" s="1529"/>
      <c r="C16" s="1529"/>
      <c r="D16" s="1645"/>
      <c r="E16" s="595"/>
      <c r="F16" s="572"/>
      <c r="G16" s="581"/>
      <c r="H16" s="581"/>
      <c r="I16" s="374"/>
      <c r="J16" s="374"/>
      <c r="K16" s="374"/>
      <c r="L16" s="1078">
        <f t="shared" si="0"/>
        <v>0</v>
      </c>
      <c r="N16" s="322"/>
      <c r="O16" s="322"/>
      <c r="P16" s="322"/>
      <c r="Q16" s="322"/>
      <c r="R16" s="322"/>
      <c r="S16" s="322"/>
      <c r="T16" s="322"/>
      <c r="U16" s="322"/>
      <c r="V16" s="322"/>
    </row>
    <row r="17" spans="1:22" ht="21" customHeight="1">
      <c r="A17" s="1577"/>
      <c r="B17" s="1529"/>
      <c r="C17" s="1529"/>
      <c r="D17" s="1645"/>
      <c r="E17" s="595"/>
      <c r="F17" s="572"/>
      <c r="G17" s="581"/>
      <c r="H17" s="581"/>
      <c r="I17" s="374"/>
      <c r="J17" s="374"/>
      <c r="K17" s="374"/>
      <c r="L17" s="1078">
        <f t="shared" si="0"/>
        <v>0</v>
      </c>
      <c r="N17" s="322"/>
      <c r="O17" s="322"/>
      <c r="P17" s="322"/>
      <c r="Q17" s="322"/>
      <c r="R17" s="322"/>
      <c r="S17" s="322"/>
      <c r="T17" s="322"/>
      <c r="U17" s="322"/>
      <c r="V17" s="322"/>
    </row>
    <row r="18" spans="1:22" ht="21" customHeight="1">
      <c r="A18" s="1577"/>
      <c r="B18" s="1529"/>
      <c r="C18" s="1529"/>
      <c r="D18" s="1645"/>
      <c r="E18" s="595"/>
      <c r="F18" s="572"/>
      <c r="G18" s="581"/>
      <c r="H18" s="581"/>
      <c r="I18" s="374"/>
      <c r="J18" s="374"/>
      <c r="K18" s="374"/>
      <c r="L18" s="1078">
        <f t="shared" si="0"/>
        <v>0</v>
      </c>
      <c r="N18" s="322"/>
      <c r="O18" s="322"/>
      <c r="P18" s="322"/>
      <c r="Q18" s="322"/>
      <c r="R18" s="322"/>
      <c r="S18" s="322"/>
      <c r="T18" s="322"/>
      <c r="U18" s="322"/>
      <c r="V18" s="322"/>
    </row>
    <row r="19" spans="1:22" ht="21" customHeight="1">
      <c r="B19" s="1529"/>
      <c r="C19" s="1529"/>
      <c r="D19" s="1645"/>
      <c r="E19" s="595"/>
      <c r="F19" s="572"/>
      <c r="G19" s="581"/>
      <c r="H19" s="581"/>
      <c r="I19" s="374"/>
      <c r="J19" s="374"/>
      <c r="K19" s="374"/>
      <c r="L19" s="1078">
        <f t="shared" si="0"/>
        <v>0</v>
      </c>
      <c r="N19" s="322"/>
      <c r="O19" s="322"/>
      <c r="P19" s="322"/>
      <c r="Q19" s="322"/>
      <c r="R19" s="322"/>
      <c r="S19" s="322"/>
      <c r="T19" s="322"/>
      <c r="U19" s="322"/>
      <c r="V19" s="322"/>
    </row>
    <row r="20" spans="1:22" ht="21" customHeight="1">
      <c r="B20" s="1529"/>
      <c r="C20" s="1529"/>
      <c r="D20" s="1645"/>
      <c r="E20" s="595"/>
      <c r="F20" s="572"/>
      <c r="G20" s="581"/>
      <c r="H20" s="581"/>
      <c r="I20" s="374"/>
      <c r="J20" s="374"/>
      <c r="K20" s="374"/>
      <c r="L20" s="1078">
        <f t="shared" si="0"/>
        <v>0</v>
      </c>
      <c r="N20" s="322"/>
      <c r="O20" s="322"/>
      <c r="P20" s="322"/>
      <c r="Q20" s="322"/>
      <c r="R20" s="322"/>
      <c r="S20" s="322"/>
      <c r="T20" s="322"/>
      <c r="U20" s="322"/>
      <c r="V20" s="322"/>
    </row>
    <row r="21" spans="1:22" ht="21" customHeight="1" thickBot="1">
      <c r="B21" s="42"/>
      <c r="C21" s="42"/>
      <c r="D21" s="42"/>
      <c r="E21" s="42"/>
      <c r="F21" s="897" t="s">
        <v>805</v>
      </c>
      <c r="G21" s="1021">
        <f t="shared" ref="G21:L21" si="1">SUM(G10:G20)</f>
        <v>0</v>
      </c>
      <c r="H21" s="1021">
        <f t="shared" si="1"/>
        <v>0</v>
      </c>
      <c r="I21" s="1021">
        <f t="shared" si="1"/>
        <v>0</v>
      </c>
      <c r="J21" s="1021">
        <f t="shared" si="1"/>
        <v>0</v>
      </c>
      <c r="K21" s="1021">
        <f t="shared" si="1"/>
        <v>0</v>
      </c>
      <c r="L21" s="862">
        <f t="shared" si="1"/>
        <v>0</v>
      </c>
      <c r="N21" s="322"/>
      <c r="O21" s="322"/>
      <c r="P21" s="322"/>
      <c r="Q21" s="322"/>
      <c r="R21" s="322"/>
      <c r="S21" s="322"/>
      <c r="T21" s="322"/>
      <c r="U21" s="322"/>
      <c r="V21" s="322"/>
    </row>
    <row r="22" spans="1:22" ht="12.75" customHeight="1" thickTop="1">
      <c r="B22" s="42"/>
      <c r="C22" s="42"/>
      <c r="D22" s="42"/>
      <c r="E22" s="42"/>
      <c r="F22" s="1063"/>
      <c r="G22" s="1063"/>
      <c r="H22" s="1063"/>
      <c r="I22" s="1079" t="s">
        <v>564</v>
      </c>
      <c r="J22" s="1079" t="s">
        <v>565</v>
      </c>
      <c r="K22" s="1063"/>
      <c r="L22" s="1063"/>
      <c r="N22" s="322"/>
      <c r="O22" s="322"/>
      <c r="P22" s="322"/>
      <c r="Q22" s="322"/>
      <c r="R22" s="322"/>
      <c r="S22" s="322"/>
      <c r="T22" s="322"/>
      <c r="U22" s="322"/>
      <c r="V22" s="322"/>
    </row>
    <row r="23" spans="1:22" ht="12.75" customHeight="1">
      <c r="B23" s="42"/>
      <c r="C23" s="42"/>
      <c r="D23" s="42"/>
      <c r="E23" s="42"/>
      <c r="F23" s="1063"/>
      <c r="G23" s="1063"/>
      <c r="H23" s="1063"/>
      <c r="I23" s="1079"/>
      <c r="J23" s="1079"/>
      <c r="K23" s="1063"/>
      <c r="L23" s="1063"/>
      <c r="N23" s="322"/>
      <c r="O23" s="322"/>
      <c r="P23" s="322"/>
      <c r="Q23" s="322"/>
      <c r="R23" s="322"/>
      <c r="S23" s="322"/>
      <c r="T23" s="322"/>
      <c r="U23" s="322"/>
      <c r="V23" s="322"/>
    </row>
    <row r="24" spans="1:22" ht="12.75" customHeight="1">
      <c r="B24" s="42"/>
      <c r="C24" s="42"/>
      <c r="D24" s="42"/>
      <c r="E24" s="42"/>
      <c r="F24" s="1063"/>
      <c r="G24" s="1063"/>
      <c r="H24" s="1063"/>
      <c r="I24" s="1079"/>
      <c r="J24" s="1079"/>
      <c r="K24" s="1063"/>
      <c r="L24" s="1063"/>
      <c r="N24" s="322"/>
      <c r="O24" s="322"/>
      <c r="P24" s="322"/>
      <c r="Q24" s="322"/>
      <c r="R24" s="322"/>
      <c r="S24" s="322"/>
      <c r="T24" s="322"/>
      <c r="U24" s="322"/>
      <c r="V24" s="322"/>
    </row>
    <row r="25" spans="1:22">
      <c r="B25" s="1063" t="s">
        <v>569</v>
      </c>
      <c r="C25" s="1063"/>
      <c r="D25" s="1063"/>
      <c r="E25" s="1063"/>
      <c r="F25" s="1063"/>
      <c r="G25" s="1063"/>
      <c r="H25" s="1063"/>
      <c r="I25" s="1063"/>
      <c r="J25" s="1063"/>
      <c r="K25" s="1063"/>
      <c r="L25" s="1063"/>
      <c r="N25" s="322"/>
      <c r="O25" s="322"/>
      <c r="P25" s="322"/>
      <c r="Q25" s="322"/>
      <c r="R25" s="322"/>
      <c r="S25" s="322"/>
      <c r="T25" s="322"/>
      <c r="U25" s="322"/>
      <c r="V25" s="322"/>
    </row>
    <row r="26" spans="1:22" ht="13.5" customHeight="1">
      <c r="B26" s="1063" t="s">
        <v>152</v>
      </c>
      <c r="C26" s="1063"/>
      <c r="D26" s="1063"/>
      <c r="E26" s="1063"/>
      <c r="F26" s="42"/>
      <c r="G26" s="42"/>
      <c r="H26" s="42"/>
      <c r="I26" s="42"/>
      <c r="J26" s="42"/>
      <c r="K26" s="42"/>
      <c r="L26" s="42"/>
    </row>
    <row r="27" spans="1:22" ht="13.5" customHeight="1">
      <c r="B27" s="34"/>
      <c r="J27" s="1533" t="s">
        <v>3952</v>
      </c>
      <c r="K27" s="1533"/>
    </row>
    <row r="28" spans="1:22">
      <c r="B28" s="853"/>
      <c r="C28" s="853"/>
      <c r="D28" s="853"/>
      <c r="E28" s="853"/>
      <c r="F28" s="853"/>
      <c r="G28" s="853"/>
      <c r="H28" s="853"/>
      <c r="I28" s="853"/>
      <c r="J28" s="1642" t="s">
        <v>153</v>
      </c>
      <c r="K28" s="1642"/>
    </row>
    <row r="29" spans="1:22">
      <c r="B29" s="853"/>
      <c r="C29" s="853"/>
      <c r="D29" s="853"/>
      <c r="E29" s="853"/>
      <c r="F29" s="853"/>
      <c r="G29" s="853"/>
      <c r="H29" s="853"/>
      <c r="I29" s="853"/>
      <c r="J29" s="853"/>
      <c r="K29" s="853"/>
    </row>
    <row r="30" spans="1:22">
      <c r="B30" s="853" t="str">
        <f>"* Not less than one-fifth (1/5) of amount authorized but not more than the amount in the column  'Balance Dec. 31, "&amp;TEXT('KEY INPUTS'!D34,"0")&amp;" must be entered here and then raised in the "&amp;TEXT('KEY INPUTS'!D33,"0")&amp;" budget."</f>
        <v>* Not less than one-fifth (1/5) of amount authorized but not more than the amount in the column  'Balance Dec. 31, 2019 must be entered here and then raised in the 2020 budget.</v>
      </c>
      <c r="C30" s="853"/>
      <c r="D30" s="853"/>
      <c r="E30" s="853"/>
      <c r="F30" s="853"/>
      <c r="G30" s="853"/>
      <c r="H30" s="853"/>
      <c r="I30" s="853"/>
      <c r="J30" s="853"/>
      <c r="K30" s="853"/>
    </row>
    <row r="35" spans="9:12">
      <c r="L35" s="228">
        <f>+I21-J21-L21</f>
        <v>0</v>
      </c>
    </row>
    <row r="36" spans="9:12">
      <c r="I36" s="228"/>
      <c r="J36" s="228"/>
    </row>
  </sheetData>
  <sheetProtection algorithmName="SHA-512" hashValue="xpTbsDdek61JUORSWSl5RZZ7V4b6f4D8skDS3sv6AYB7+Aat8lLTJpZTIH8udHVIgVLbNBxTRqI8yaFfAgFBDQ==" saltValue="v1SDbdYHd8jE/tw25BQChw=="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17">
    <mergeCell ref="A16:A18"/>
    <mergeCell ref="B7:D7"/>
    <mergeCell ref="E7:F7"/>
    <mergeCell ref="B10:D10"/>
    <mergeCell ref="B11:D11"/>
    <mergeCell ref="B12:D12"/>
    <mergeCell ref="B13:D13"/>
    <mergeCell ref="B14:D14"/>
    <mergeCell ref="B15:D15"/>
    <mergeCell ref="B16:D16"/>
    <mergeCell ref="B17:D17"/>
    <mergeCell ref="B18:D18"/>
    <mergeCell ref="J27:K27"/>
    <mergeCell ref="J28:K28"/>
    <mergeCell ref="J7:K7"/>
    <mergeCell ref="B19:D19"/>
    <mergeCell ref="B20:D20"/>
  </mergeCells>
  <phoneticPr fontId="0" type="noConversion"/>
  <pageMargins left="0.25" right="0.25" top="0.5" bottom="0.5" header="0.25" footer="0.25"/>
  <pageSetup paperSize="5" scale="61" orientation="portrait" r:id="rId5"/>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8">
    <pageSetUpPr fitToPage="1"/>
  </sheetPr>
  <dimension ref="A1:W30"/>
  <sheetViews>
    <sheetView topLeftCell="A10" workbookViewId="0">
      <selection activeCell="J28" sqref="J28:K28"/>
    </sheetView>
  </sheetViews>
  <sheetFormatPr defaultRowHeight="13.2"/>
  <cols>
    <col min="1" max="1" width="5.6640625" customWidth="1"/>
    <col min="2" max="4" width="4.88671875" customWidth="1"/>
    <col min="5" max="5" width="46.6640625" customWidth="1"/>
    <col min="6" max="6" width="7.6640625" customWidth="1"/>
    <col min="7" max="8" width="16.6640625" customWidth="1"/>
    <col min="9" max="12" width="15.6640625" customWidth="1"/>
  </cols>
  <sheetData>
    <row r="1" spans="1:23" s="853" customFormat="1"/>
    <row r="2" spans="1:23" s="853" customFormat="1" ht="18">
      <c r="B2" s="1072"/>
      <c r="C2" s="1072" t="s">
        <v>158</v>
      </c>
    </row>
    <row r="3" spans="1:23" s="853" customFormat="1" ht="18">
      <c r="B3" s="1072"/>
      <c r="C3" s="1072" t="s">
        <v>159</v>
      </c>
    </row>
    <row r="4" spans="1:23" s="853" customFormat="1"/>
    <row r="5" spans="1:23" s="853" customFormat="1" ht="13.8" thickBot="1"/>
    <row r="6" spans="1:23" s="853" customFormat="1" ht="13.8" thickTop="1">
      <c r="B6" s="886"/>
      <c r="C6" s="886"/>
      <c r="D6" s="886"/>
      <c r="E6" s="1073"/>
      <c r="F6" s="886"/>
      <c r="G6" s="887"/>
      <c r="H6" s="1074"/>
      <c r="I6" s="887"/>
      <c r="J6" s="886"/>
      <c r="K6" s="886"/>
      <c r="L6" s="863"/>
    </row>
    <row r="7" spans="1:23" s="853" customFormat="1" ht="15.6">
      <c r="B7" s="1597" t="s">
        <v>18</v>
      </c>
      <c r="C7" s="1597"/>
      <c r="D7" s="1597"/>
      <c r="E7" s="1646" t="s">
        <v>532</v>
      </c>
      <c r="F7" s="1598"/>
      <c r="G7" s="889" t="s">
        <v>533</v>
      </c>
      <c r="H7" s="995" t="s">
        <v>561</v>
      </c>
      <c r="I7" s="889" t="s">
        <v>671</v>
      </c>
      <c r="J7" s="1643" t="str">
        <f>'29-Special Emergency'!J7:K7</f>
        <v>REDUCED  IN  2019</v>
      </c>
      <c r="K7" s="1644"/>
      <c r="L7" s="864" t="s">
        <v>671</v>
      </c>
    </row>
    <row r="8" spans="1:23" s="853" customFormat="1">
      <c r="E8" s="1075"/>
      <c r="G8" s="889" t="s">
        <v>560</v>
      </c>
      <c r="H8" s="995" t="s">
        <v>155</v>
      </c>
      <c r="I8" s="892" t="str">
        <f>'29-Special Emergency'!I8</f>
        <v>Dec. 31, 2018</v>
      </c>
      <c r="J8" s="889" t="str">
        <f>'29-Special Emergency'!J8</f>
        <v>By 2019</v>
      </c>
      <c r="K8" s="889" t="s">
        <v>558</v>
      </c>
      <c r="L8" s="865" t="str">
        <f>'29-Special Emergency'!L8</f>
        <v>Dec. 31, 2019</v>
      </c>
    </row>
    <row r="9" spans="1:23" s="853" customFormat="1" ht="13.8" thickBot="1">
      <c r="B9" s="895"/>
      <c r="C9" s="895"/>
      <c r="D9" s="895"/>
      <c r="E9" s="898"/>
      <c r="F9" s="895"/>
      <c r="G9" s="897"/>
      <c r="H9" s="1076" t="s">
        <v>563</v>
      </c>
      <c r="I9" s="896"/>
      <c r="J9" s="897" t="s">
        <v>676</v>
      </c>
      <c r="K9" s="897" t="s">
        <v>559</v>
      </c>
      <c r="L9" s="866"/>
    </row>
    <row r="10" spans="1:23" ht="21" customHeight="1" thickTop="1">
      <c r="B10" s="1647"/>
      <c r="C10" s="1647"/>
      <c r="D10" s="1648"/>
      <c r="E10" s="592"/>
      <c r="F10" s="570"/>
      <c r="G10" s="598"/>
      <c r="H10" s="598"/>
      <c r="I10" s="599"/>
      <c r="J10" s="599"/>
      <c r="K10" s="599"/>
      <c r="L10" s="1080">
        <f>+I10-J10-K10</f>
        <v>0</v>
      </c>
      <c r="O10" s="322"/>
      <c r="P10" s="322"/>
      <c r="Q10" s="322"/>
      <c r="R10" s="322"/>
      <c r="S10" s="322"/>
      <c r="T10" s="322"/>
      <c r="U10" s="322"/>
      <c r="V10" s="322"/>
      <c r="W10" s="322"/>
    </row>
    <row r="11" spans="1:23" ht="21" customHeight="1">
      <c r="B11" s="1529"/>
      <c r="C11" s="1529"/>
      <c r="D11" s="1645"/>
      <c r="E11" s="595"/>
      <c r="F11" s="572"/>
      <c r="G11" s="600"/>
      <c r="H11" s="600"/>
      <c r="I11" s="601"/>
      <c r="J11" s="601"/>
      <c r="K11" s="601"/>
      <c r="L11" s="1081">
        <f>+I11-J11-K11</f>
        <v>0</v>
      </c>
      <c r="O11" s="322"/>
      <c r="P11" s="322"/>
      <c r="Q11" s="322"/>
      <c r="R11" s="322"/>
      <c r="S11" s="322"/>
      <c r="T11" s="322"/>
      <c r="U11" s="322"/>
      <c r="V11" s="322"/>
      <c r="W11" s="322"/>
    </row>
    <row r="12" spans="1:23" ht="21" customHeight="1">
      <c r="B12" s="1529"/>
      <c r="C12" s="1529"/>
      <c r="D12" s="1645"/>
      <c r="E12" s="595"/>
      <c r="F12" s="572"/>
      <c r="G12" s="600"/>
      <c r="H12" s="600"/>
      <c r="I12" s="601"/>
      <c r="J12" s="601"/>
      <c r="K12" s="601"/>
      <c r="L12" s="1081">
        <f t="shared" ref="L12:L20" si="0">+I12-J12-K12</f>
        <v>0</v>
      </c>
      <c r="O12" s="322"/>
      <c r="P12" s="322"/>
      <c r="Q12" s="322"/>
      <c r="R12" s="322"/>
      <c r="S12" s="322"/>
      <c r="T12" s="322"/>
      <c r="U12" s="322"/>
      <c r="V12" s="322"/>
      <c r="W12" s="322"/>
    </row>
    <row r="13" spans="1:23" ht="21" customHeight="1">
      <c r="B13" s="1529"/>
      <c r="C13" s="1529"/>
      <c r="D13" s="1645"/>
      <c r="E13" s="595"/>
      <c r="F13" s="572"/>
      <c r="G13" s="600"/>
      <c r="H13" s="600"/>
      <c r="I13" s="601"/>
      <c r="J13" s="601"/>
      <c r="K13" s="601"/>
      <c r="L13" s="1081">
        <f t="shared" si="0"/>
        <v>0</v>
      </c>
      <c r="O13" s="322"/>
      <c r="P13" s="322"/>
      <c r="Q13" s="322"/>
      <c r="R13" s="322"/>
      <c r="S13" s="322"/>
      <c r="T13" s="322"/>
      <c r="U13" s="322"/>
      <c r="V13" s="322"/>
      <c r="W13" s="322"/>
    </row>
    <row r="14" spans="1:23" ht="21" customHeight="1">
      <c r="B14" s="1529"/>
      <c r="C14" s="1529"/>
      <c r="D14" s="1645"/>
      <c r="E14" s="595"/>
      <c r="F14" s="572"/>
      <c r="G14" s="600"/>
      <c r="H14" s="600"/>
      <c r="I14" s="601"/>
      <c r="J14" s="601"/>
      <c r="K14" s="601"/>
      <c r="L14" s="1081">
        <f t="shared" si="0"/>
        <v>0</v>
      </c>
      <c r="O14" s="322"/>
      <c r="P14" s="322"/>
      <c r="Q14" s="322"/>
      <c r="R14" s="322"/>
      <c r="S14" s="322"/>
      <c r="T14" s="322"/>
      <c r="U14" s="322"/>
      <c r="V14" s="322"/>
      <c r="W14" s="322"/>
    </row>
    <row r="15" spans="1:23" ht="21" customHeight="1">
      <c r="B15" s="1529"/>
      <c r="C15" s="1529"/>
      <c r="D15" s="1645"/>
      <c r="E15" s="595"/>
      <c r="F15" s="572"/>
      <c r="G15" s="603"/>
      <c r="H15" s="603"/>
      <c r="I15" s="604"/>
      <c r="J15" s="601"/>
      <c r="K15" s="601"/>
      <c r="L15" s="1081">
        <f t="shared" si="0"/>
        <v>0</v>
      </c>
      <c r="O15" s="322"/>
      <c r="P15" s="322"/>
      <c r="Q15" s="322"/>
      <c r="R15" s="322"/>
      <c r="S15" s="322"/>
      <c r="T15" s="322"/>
      <c r="U15" s="322"/>
      <c r="V15" s="322"/>
      <c r="W15" s="322"/>
    </row>
    <row r="16" spans="1:23" ht="21" customHeight="1">
      <c r="A16" s="1577" t="s">
        <v>154</v>
      </c>
      <c r="B16" s="1529"/>
      <c r="C16" s="1529"/>
      <c r="D16" s="1645"/>
      <c r="E16" s="595"/>
      <c r="F16" s="572"/>
      <c r="G16" s="600"/>
      <c r="H16" s="600"/>
      <c r="I16" s="601"/>
      <c r="J16" s="601"/>
      <c r="K16" s="601"/>
      <c r="L16" s="1081">
        <f t="shared" si="0"/>
        <v>0</v>
      </c>
      <c r="O16" s="322"/>
      <c r="P16" s="377"/>
      <c r="Q16" s="322"/>
      <c r="R16" s="322"/>
      <c r="S16" s="322"/>
      <c r="T16" s="322"/>
      <c r="U16" s="322"/>
      <c r="V16" s="322"/>
      <c r="W16" s="322"/>
    </row>
    <row r="17" spans="1:23" ht="21" customHeight="1">
      <c r="A17" s="1577"/>
      <c r="B17" s="1529"/>
      <c r="C17" s="1529"/>
      <c r="D17" s="1645"/>
      <c r="E17" s="595"/>
      <c r="F17" s="572"/>
      <c r="G17" s="600"/>
      <c r="H17" s="600"/>
      <c r="I17" s="601"/>
      <c r="J17" s="601"/>
      <c r="K17" s="601"/>
      <c r="L17" s="1081">
        <f t="shared" si="0"/>
        <v>0</v>
      </c>
      <c r="O17" s="322"/>
      <c r="P17" s="322"/>
      <c r="Q17" s="322"/>
      <c r="R17" s="322"/>
      <c r="S17" s="322"/>
      <c r="T17" s="322"/>
      <c r="U17" s="322"/>
      <c r="V17" s="322"/>
      <c r="W17" s="322"/>
    </row>
    <row r="18" spans="1:23" ht="21" customHeight="1">
      <c r="A18" s="1577"/>
      <c r="B18" s="1529"/>
      <c r="C18" s="1529"/>
      <c r="D18" s="1645"/>
      <c r="E18" s="595"/>
      <c r="F18" s="572"/>
      <c r="G18" s="600"/>
      <c r="H18" s="600"/>
      <c r="I18" s="601"/>
      <c r="J18" s="601"/>
      <c r="K18" s="601"/>
      <c r="L18" s="1081">
        <f t="shared" si="0"/>
        <v>0</v>
      </c>
      <c r="O18" s="322"/>
      <c r="P18" s="322"/>
      <c r="Q18" s="322"/>
      <c r="R18" s="322"/>
      <c r="S18" s="322"/>
      <c r="T18" s="322"/>
      <c r="U18" s="322"/>
      <c r="V18" s="322"/>
      <c r="W18" s="322"/>
    </row>
    <row r="19" spans="1:23" ht="21" customHeight="1">
      <c r="B19" s="1529"/>
      <c r="C19" s="1529"/>
      <c r="D19" s="1645"/>
      <c r="E19" s="595"/>
      <c r="F19" s="572"/>
      <c r="G19" s="600"/>
      <c r="H19" s="600"/>
      <c r="I19" s="601"/>
      <c r="J19" s="601"/>
      <c r="K19" s="601"/>
      <c r="L19" s="1081">
        <f t="shared" si="0"/>
        <v>0</v>
      </c>
      <c r="O19" s="322"/>
      <c r="P19" s="322"/>
      <c r="Q19" s="322"/>
      <c r="R19" s="322"/>
      <c r="S19" s="322"/>
      <c r="T19" s="322"/>
      <c r="U19" s="322"/>
      <c r="V19" s="322"/>
      <c r="W19" s="322"/>
    </row>
    <row r="20" spans="1:23" ht="21" customHeight="1">
      <c r="B20" s="1529"/>
      <c r="C20" s="1529"/>
      <c r="D20" s="1645"/>
      <c r="E20" s="595"/>
      <c r="F20" s="572"/>
      <c r="G20" s="600"/>
      <c r="H20" s="600"/>
      <c r="I20" s="601"/>
      <c r="J20" s="601"/>
      <c r="K20" s="601"/>
      <c r="L20" s="1081">
        <f t="shared" si="0"/>
        <v>0</v>
      </c>
      <c r="O20" s="322"/>
      <c r="P20" s="322"/>
      <c r="Q20" s="322"/>
      <c r="R20" s="322"/>
      <c r="S20" s="322"/>
      <c r="T20" s="322"/>
      <c r="U20" s="322"/>
      <c r="V20" s="322"/>
      <c r="W20" s="322"/>
    </row>
    <row r="21" spans="1:23" s="853" customFormat="1" ht="21" customHeight="1" thickBot="1">
      <c r="B21" s="1063"/>
      <c r="C21" s="1063"/>
      <c r="D21" s="1063"/>
      <c r="E21" s="1063"/>
      <c r="F21" s="897" t="s">
        <v>805</v>
      </c>
      <c r="G21" s="1083">
        <f t="shared" ref="G21:L21" si="1">SUM(G10:G20)</f>
        <v>0</v>
      </c>
      <c r="H21" s="1083">
        <f t="shared" si="1"/>
        <v>0</v>
      </c>
      <c r="I21" s="1083">
        <f t="shared" si="1"/>
        <v>0</v>
      </c>
      <c r="J21" s="1083">
        <f t="shared" si="1"/>
        <v>0</v>
      </c>
      <c r="K21" s="1083">
        <f t="shared" si="1"/>
        <v>0</v>
      </c>
      <c r="L21" s="1082">
        <f t="shared" si="1"/>
        <v>0</v>
      </c>
    </row>
    <row r="22" spans="1:23" s="853" customFormat="1" ht="12.75" customHeight="1" thickTop="1">
      <c r="B22" s="1063"/>
      <c r="C22" s="1063"/>
      <c r="D22" s="1063"/>
      <c r="E22" s="1063"/>
      <c r="F22" s="1063"/>
      <c r="G22" s="1063"/>
      <c r="H22" s="1063"/>
      <c r="I22" s="1079" t="s">
        <v>156</v>
      </c>
      <c r="J22" s="1079" t="s">
        <v>157</v>
      </c>
      <c r="K22" s="1063"/>
      <c r="L22" s="1063"/>
    </row>
    <row r="23" spans="1:23" s="853" customFormat="1" ht="12.75" customHeight="1">
      <c r="B23" s="1063"/>
      <c r="C23" s="1063"/>
      <c r="D23" s="1063"/>
      <c r="E23" s="1063"/>
      <c r="F23" s="1063"/>
      <c r="G23" s="1063"/>
      <c r="H23" s="1063"/>
      <c r="I23" s="1079"/>
      <c r="J23" s="1079"/>
      <c r="K23" s="1063"/>
      <c r="L23" s="1063"/>
    </row>
    <row r="24" spans="1:23" s="853" customFormat="1" ht="12.75" customHeight="1">
      <c r="B24" s="1063"/>
      <c r="C24" s="1063"/>
      <c r="D24" s="1063"/>
      <c r="E24" s="1063"/>
      <c r="F24" s="1063"/>
      <c r="G24" s="1063"/>
      <c r="H24" s="1063"/>
      <c r="I24" s="1079"/>
      <c r="J24" s="1079"/>
      <c r="K24" s="1063"/>
      <c r="L24" s="1063"/>
    </row>
    <row r="25" spans="1:23" s="853" customFormat="1">
      <c r="B25" s="1063" t="s">
        <v>567</v>
      </c>
      <c r="C25" s="1063"/>
      <c r="D25" s="1063"/>
      <c r="E25" s="1063"/>
      <c r="F25" s="1063"/>
      <c r="G25" s="1063"/>
      <c r="H25" s="1063"/>
      <c r="I25" s="1063"/>
      <c r="J25" s="1063"/>
      <c r="K25" s="1063"/>
      <c r="L25" s="1063"/>
    </row>
    <row r="26" spans="1:23" s="853" customFormat="1" ht="13.5" customHeight="1">
      <c r="B26" s="1063" t="s">
        <v>317</v>
      </c>
      <c r="C26" s="1063"/>
      <c r="D26" s="1063"/>
      <c r="E26" s="1063"/>
      <c r="F26" s="1063"/>
      <c r="G26" s="1063"/>
      <c r="H26" s="1063"/>
      <c r="I26" s="1063"/>
      <c r="J26" s="1063"/>
      <c r="K26" s="1063"/>
      <c r="L26" s="1063"/>
    </row>
    <row r="27" spans="1:23" ht="13.5" customHeight="1">
      <c r="B27" s="34"/>
      <c r="J27" s="1533" t="s">
        <v>3952</v>
      </c>
      <c r="K27" s="1533"/>
      <c r="O27" s="322"/>
      <c r="P27" s="322"/>
      <c r="Q27" s="322"/>
      <c r="R27" s="322"/>
      <c r="S27" s="322"/>
      <c r="T27" s="322"/>
      <c r="U27" s="322"/>
      <c r="V27" s="322"/>
      <c r="W27" s="322"/>
    </row>
    <row r="28" spans="1:23" s="853" customFormat="1">
      <c r="J28" s="1642" t="s">
        <v>153</v>
      </c>
      <c r="K28" s="1642"/>
    </row>
    <row r="29" spans="1:23" s="853" customFormat="1"/>
    <row r="30" spans="1:23" s="853" customFormat="1">
      <c r="B30" s="853" t="str">
        <f>"* Not less than one-third (1/3) of amount authorized but not more than the amount in the column  'Balance Dec. 31, "&amp;TEXT('KEY INPUTS'!D34,"0")&amp;" 'must be entered here and then raised in the "&amp;TEXT('KEY INPUTS'!D33,"0")&amp;" budget."</f>
        <v>* Not less than one-third (1/3) of amount authorized but not more than the amount in the column  'Balance Dec. 31, 2019 'must be entered here and then raised in the 2020 budget.</v>
      </c>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17">
    <mergeCell ref="A16:A18"/>
    <mergeCell ref="B7:D7"/>
    <mergeCell ref="E7:F7"/>
    <mergeCell ref="B10:D10"/>
    <mergeCell ref="B11:D11"/>
    <mergeCell ref="B12:D12"/>
    <mergeCell ref="B13:D13"/>
    <mergeCell ref="B14:D14"/>
    <mergeCell ref="B15:D15"/>
    <mergeCell ref="B16:D16"/>
    <mergeCell ref="B17:D17"/>
    <mergeCell ref="B18:D18"/>
    <mergeCell ref="J27:K27"/>
    <mergeCell ref="J28:K28"/>
    <mergeCell ref="J7:K7"/>
    <mergeCell ref="B19:D19"/>
    <mergeCell ref="B20:D20"/>
  </mergeCells>
  <phoneticPr fontId="0" type="noConversion"/>
  <pageMargins left="0.25" right="0.25" top="0.5" bottom="0.5" header="0.25" footer="0.25"/>
  <pageSetup paperSize="5" scale="61" orientation="portrait" r:id="rId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3:R46"/>
  <sheetViews>
    <sheetView workbookViewId="0">
      <selection activeCell="B3" sqref="B3:O3"/>
    </sheetView>
  </sheetViews>
  <sheetFormatPr defaultRowHeight="13.2"/>
  <cols>
    <col min="1" max="1" width="4.6640625" customWidth="1"/>
    <col min="2" max="2" width="4.88671875" customWidth="1"/>
    <col min="3" max="4" width="4.6640625" customWidth="1"/>
    <col min="5" max="5" width="30.6640625" customWidth="1"/>
    <col min="6" max="6" width="15.6640625" customWidth="1"/>
    <col min="7" max="8" width="16.6640625" customWidth="1"/>
  </cols>
  <sheetData>
    <row r="3" spans="2:18" ht="22.8">
      <c r="B3" s="1549" t="s">
        <v>543</v>
      </c>
      <c r="C3" s="1549"/>
      <c r="D3" s="1549"/>
      <c r="E3" s="1549"/>
      <c r="F3" s="1549"/>
      <c r="G3" s="1549"/>
      <c r="H3" s="1549"/>
    </row>
    <row r="4" spans="2:18" ht="22.8">
      <c r="B4" s="1549" t="s">
        <v>131</v>
      </c>
      <c r="C4" s="1549"/>
      <c r="D4" s="1549"/>
      <c r="E4" s="1549"/>
      <c r="F4" s="1549"/>
      <c r="G4" s="1549"/>
      <c r="H4" s="1549"/>
    </row>
    <row r="5" spans="2:18" ht="15.6">
      <c r="B5" s="1509" t="s">
        <v>778</v>
      </c>
      <c r="C5" s="1509"/>
      <c r="D5" s="1509"/>
      <c r="E5" s="1509"/>
      <c r="F5" s="1509"/>
      <c r="G5" s="1509"/>
      <c r="H5" s="1509"/>
    </row>
    <row r="6" spans="2:18" ht="15.6">
      <c r="B6" s="1556" t="str">
        <f>'KEY INPUTS'!D44</f>
        <v>AS  AT  DECEMBER  31, 2019</v>
      </c>
      <c r="C6" s="1509"/>
      <c r="D6" s="1509"/>
      <c r="E6" s="1509"/>
      <c r="F6" s="1509"/>
      <c r="G6" s="1509"/>
      <c r="H6" s="1509"/>
    </row>
    <row r="7" spans="2:18" ht="13.8" thickBot="1"/>
    <row r="8" spans="2:18" ht="36" customHeight="1" thickTop="1" thickBot="1">
      <c r="B8" s="1553" t="s">
        <v>124</v>
      </c>
      <c r="C8" s="1553"/>
      <c r="D8" s="1553"/>
      <c r="E8" s="1553"/>
      <c r="F8" s="1554"/>
      <c r="G8" s="4" t="s">
        <v>125</v>
      </c>
      <c r="H8" s="816" t="s">
        <v>126</v>
      </c>
      <c r="K8" s="322"/>
      <c r="L8" s="322"/>
      <c r="M8" s="322"/>
      <c r="N8" s="322"/>
      <c r="O8" s="322"/>
      <c r="P8" s="322"/>
      <c r="Q8" s="322"/>
      <c r="R8" s="322"/>
    </row>
    <row r="9" spans="2:18" ht="21" customHeight="1" thickTop="1">
      <c r="B9" s="397"/>
      <c r="C9" s="397"/>
      <c r="D9" s="397"/>
      <c r="E9" s="397"/>
      <c r="F9" s="397"/>
      <c r="G9" s="662"/>
      <c r="H9" s="660"/>
      <c r="K9" s="322"/>
      <c r="L9" s="322"/>
      <c r="M9" s="322"/>
      <c r="N9" s="322"/>
      <c r="O9" s="322"/>
      <c r="P9" s="322"/>
      <c r="Q9" s="322"/>
      <c r="R9" s="322"/>
    </row>
    <row r="10" spans="2:18" ht="21" customHeight="1">
      <c r="B10" s="566"/>
      <c r="C10" s="566"/>
      <c r="D10" s="566"/>
      <c r="E10" s="566"/>
      <c r="F10" s="566"/>
      <c r="G10" s="374"/>
      <c r="H10" s="578"/>
      <c r="K10" s="377"/>
      <c r="L10" s="322"/>
      <c r="M10" s="322"/>
      <c r="N10" s="322"/>
      <c r="O10" s="322"/>
      <c r="P10" s="322"/>
      <c r="Q10" s="322"/>
      <c r="R10" s="322"/>
    </row>
    <row r="11" spans="2:18" ht="21" customHeight="1">
      <c r="B11" s="566"/>
      <c r="C11" s="566"/>
      <c r="D11" s="566"/>
      <c r="E11" s="566"/>
      <c r="F11" s="566"/>
      <c r="G11" s="374"/>
      <c r="H11" s="578"/>
      <c r="I11" s="228"/>
      <c r="K11" s="322"/>
      <c r="L11" s="322"/>
      <c r="M11" s="322"/>
      <c r="N11" s="322"/>
      <c r="O11" s="322"/>
      <c r="P11" s="322"/>
      <c r="Q11" s="322"/>
      <c r="R11" s="322"/>
    </row>
    <row r="12" spans="2:18" ht="21" customHeight="1">
      <c r="B12" s="566"/>
      <c r="C12" s="566"/>
      <c r="D12" s="566"/>
      <c r="E12" s="566"/>
      <c r="F12" s="566"/>
      <c r="G12" s="374"/>
      <c r="H12" s="578"/>
      <c r="K12" s="322"/>
      <c r="L12" s="322"/>
      <c r="M12" s="322"/>
      <c r="N12" s="322"/>
      <c r="O12" s="322"/>
      <c r="P12" s="322"/>
      <c r="Q12" s="322"/>
      <c r="R12" s="322"/>
    </row>
    <row r="13" spans="2:18" ht="21" customHeight="1">
      <c r="B13" s="566"/>
      <c r="C13" s="566"/>
      <c r="D13" s="566"/>
      <c r="E13" s="566"/>
      <c r="F13" s="566"/>
      <c r="G13" s="374"/>
      <c r="H13" s="578"/>
      <c r="K13" s="322"/>
      <c r="L13" s="322"/>
      <c r="M13" s="322"/>
      <c r="N13" s="322"/>
      <c r="O13" s="322"/>
      <c r="P13" s="322"/>
      <c r="Q13" s="322"/>
      <c r="R13" s="322"/>
    </row>
    <row r="14" spans="2:18" ht="21" customHeight="1">
      <c r="B14" s="566"/>
      <c r="C14" s="566"/>
      <c r="D14" s="566"/>
      <c r="E14" s="566"/>
      <c r="F14" s="566"/>
      <c r="G14" s="374"/>
      <c r="H14" s="578"/>
      <c r="K14" s="322"/>
      <c r="L14" s="322"/>
      <c r="M14" s="322"/>
      <c r="N14" s="322"/>
      <c r="O14" s="322"/>
      <c r="P14" s="322"/>
      <c r="Q14" s="322"/>
      <c r="R14" s="322"/>
    </row>
    <row r="15" spans="2:18" ht="21" customHeight="1">
      <c r="B15" s="566"/>
      <c r="C15" s="566"/>
      <c r="D15" s="566"/>
      <c r="E15" s="566"/>
      <c r="F15" s="566"/>
      <c r="G15" s="374"/>
      <c r="H15" s="578"/>
      <c r="K15" s="322"/>
      <c r="L15" s="322"/>
      <c r="M15" s="322"/>
      <c r="N15" s="322"/>
      <c r="O15" s="322"/>
      <c r="P15" s="322"/>
      <c r="Q15" s="322"/>
      <c r="R15" s="322"/>
    </row>
    <row r="16" spans="2:18" ht="21" customHeight="1">
      <c r="B16" s="566"/>
      <c r="C16" s="566"/>
      <c r="D16" s="566"/>
      <c r="E16" s="566"/>
      <c r="F16" s="566"/>
      <c r="G16" s="374"/>
      <c r="H16" s="578"/>
      <c r="K16" s="322"/>
      <c r="L16" s="322"/>
      <c r="M16" s="322"/>
      <c r="N16" s="322"/>
      <c r="O16" s="322"/>
      <c r="P16" s="322"/>
      <c r="Q16" s="322"/>
      <c r="R16" s="322"/>
    </row>
    <row r="17" spans="2:18" ht="21" customHeight="1">
      <c r="B17" s="566"/>
      <c r="C17" s="566"/>
      <c r="D17" s="566"/>
      <c r="E17" s="566"/>
      <c r="F17" s="566"/>
      <c r="G17" s="374"/>
      <c r="H17" s="578"/>
      <c r="K17" s="322"/>
      <c r="L17" s="322"/>
      <c r="M17" s="322"/>
      <c r="N17" s="322"/>
      <c r="O17" s="322"/>
      <c r="P17" s="322"/>
      <c r="Q17" s="322"/>
      <c r="R17" s="322"/>
    </row>
    <row r="18" spans="2:18" ht="21" customHeight="1">
      <c r="B18" s="566"/>
      <c r="C18" s="566"/>
      <c r="D18" s="566"/>
      <c r="E18" s="566"/>
      <c r="F18" s="566"/>
      <c r="G18" s="374"/>
      <c r="H18" s="578"/>
      <c r="K18" s="322"/>
      <c r="L18" s="322"/>
      <c r="M18" s="322"/>
      <c r="N18" s="322"/>
      <c r="O18" s="322"/>
      <c r="P18" s="322"/>
      <c r="Q18" s="322"/>
      <c r="R18" s="322"/>
    </row>
    <row r="19" spans="2:18" ht="21" customHeight="1">
      <c r="B19" s="566"/>
      <c r="C19" s="566"/>
      <c r="D19" s="566"/>
      <c r="E19" s="566"/>
      <c r="F19" s="566"/>
      <c r="G19" s="374"/>
      <c r="H19" s="578"/>
      <c r="K19" s="322"/>
      <c r="L19" s="322"/>
      <c r="M19" s="322"/>
      <c r="N19" s="322"/>
      <c r="O19" s="322"/>
      <c r="P19" s="322"/>
      <c r="Q19" s="322"/>
      <c r="R19" s="322"/>
    </row>
    <row r="20" spans="2:18" ht="21" customHeight="1">
      <c r="B20" s="566"/>
      <c r="C20" s="566"/>
      <c r="D20" s="566"/>
      <c r="E20" s="566"/>
      <c r="F20" s="566"/>
      <c r="G20" s="374"/>
      <c r="H20" s="578"/>
      <c r="K20" s="322"/>
      <c r="L20" s="322"/>
      <c r="M20" s="322"/>
      <c r="N20" s="322"/>
      <c r="O20" s="322"/>
      <c r="P20" s="322"/>
      <c r="Q20" s="322"/>
      <c r="R20" s="322"/>
    </row>
    <row r="21" spans="2:18" ht="21" customHeight="1">
      <c r="B21" s="566"/>
      <c r="C21" s="566"/>
      <c r="D21" s="566"/>
      <c r="E21" s="566"/>
      <c r="F21" s="566"/>
      <c r="G21" s="374"/>
      <c r="H21" s="578"/>
      <c r="K21" s="322"/>
      <c r="L21" s="322"/>
      <c r="M21" s="322"/>
      <c r="N21" s="322"/>
      <c r="O21" s="322"/>
      <c r="P21" s="322"/>
      <c r="Q21" s="322"/>
      <c r="R21" s="322"/>
    </row>
    <row r="22" spans="2:18" ht="21" customHeight="1">
      <c r="B22" s="566"/>
      <c r="C22" s="566"/>
      <c r="D22" s="566"/>
      <c r="E22" s="566"/>
      <c r="F22" s="566"/>
      <c r="G22" s="374"/>
      <c r="H22" s="578"/>
      <c r="K22" s="322"/>
      <c r="L22" s="322"/>
      <c r="M22" s="322"/>
      <c r="N22" s="322"/>
      <c r="O22" s="322"/>
      <c r="P22" s="322"/>
      <c r="Q22" s="322"/>
      <c r="R22" s="322"/>
    </row>
    <row r="23" spans="2:18" ht="21" customHeight="1">
      <c r="B23" s="566"/>
      <c r="C23" s="566"/>
      <c r="D23" s="566"/>
      <c r="E23" s="566"/>
      <c r="F23" s="566"/>
      <c r="G23" s="374"/>
      <c r="H23" s="578"/>
      <c r="K23" s="322"/>
      <c r="L23" s="322"/>
      <c r="M23" s="322"/>
      <c r="N23" s="322"/>
      <c r="O23" s="322"/>
      <c r="P23" s="322"/>
      <c r="Q23" s="322"/>
      <c r="R23" s="322"/>
    </row>
    <row r="24" spans="2:18" ht="21" customHeight="1">
      <c r="B24" s="566"/>
      <c r="C24" s="566"/>
      <c r="D24" s="566"/>
      <c r="E24" s="566"/>
      <c r="F24" s="566"/>
      <c r="G24" s="374"/>
      <c r="H24" s="578"/>
      <c r="K24" s="322"/>
      <c r="L24" s="322"/>
      <c r="M24" s="322"/>
      <c r="N24" s="322"/>
      <c r="O24" s="322"/>
      <c r="P24" s="322"/>
      <c r="Q24" s="322"/>
      <c r="R24" s="322"/>
    </row>
    <row r="25" spans="2:18" ht="21" customHeight="1">
      <c r="B25" s="566"/>
      <c r="C25" s="566"/>
      <c r="D25" s="566"/>
      <c r="E25" s="566"/>
      <c r="F25" s="566"/>
      <c r="G25" s="374"/>
      <c r="H25" s="578"/>
      <c r="K25" s="322"/>
      <c r="L25" s="322"/>
      <c r="M25" s="322"/>
      <c r="N25" s="322"/>
      <c r="O25" s="322"/>
      <c r="P25" s="322"/>
      <c r="Q25" s="322"/>
      <c r="R25" s="322"/>
    </row>
    <row r="26" spans="2:18" ht="21" customHeight="1">
      <c r="B26" s="566"/>
      <c r="C26" s="566"/>
      <c r="D26" s="566"/>
      <c r="E26" s="566"/>
      <c r="F26" s="566"/>
      <c r="G26" s="374"/>
      <c r="H26" s="578"/>
      <c r="K26" s="322"/>
      <c r="L26" s="322"/>
      <c r="M26" s="322"/>
      <c r="N26" s="322"/>
      <c r="O26" s="322"/>
      <c r="P26" s="322"/>
      <c r="Q26" s="322"/>
      <c r="R26" s="322"/>
    </row>
    <row r="27" spans="2:18" ht="21" customHeight="1">
      <c r="B27" s="566"/>
      <c r="C27" s="566"/>
      <c r="D27" s="566"/>
      <c r="E27" s="566"/>
      <c r="F27" s="566"/>
      <c r="G27" s="374"/>
      <c r="H27" s="578"/>
      <c r="K27" s="322"/>
      <c r="L27" s="322"/>
      <c r="M27" s="322"/>
      <c r="N27" s="322"/>
      <c r="O27" s="322"/>
      <c r="P27" s="322"/>
      <c r="Q27" s="322"/>
      <c r="R27" s="322"/>
    </row>
    <row r="28" spans="2:18" ht="21" customHeight="1">
      <c r="B28" s="566"/>
      <c r="C28" s="566"/>
      <c r="D28" s="566"/>
      <c r="E28" s="566"/>
      <c r="F28" s="566"/>
      <c r="G28" s="374"/>
      <c r="H28" s="578"/>
      <c r="K28" s="322"/>
      <c r="L28" s="322"/>
      <c r="M28" s="322"/>
      <c r="N28" s="322"/>
      <c r="O28" s="322"/>
      <c r="P28" s="322"/>
      <c r="Q28" s="322"/>
      <c r="R28" s="322"/>
    </row>
    <row r="29" spans="2:18" ht="21" customHeight="1">
      <c r="B29" s="566"/>
      <c r="C29" s="566"/>
      <c r="D29" s="566"/>
      <c r="E29" s="566"/>
      <c r="F29" s="566"/>
      <c r="G29" s="374"/>
      <c r="H29" s="578"/>
      <c r="K29" s="322"/>
      <c r="L29" s="322"/>
      <c r="M29" s="322"/>
      <c r="N29" s="322"/>
      <c r="O29" s="322"/>
      <c r="P29" s="322"/>
      <c r="Q29" s="322"/>
      <c r="R29" s="322"/>
    </row>
    <row r="30" spans="2:18" ht="21" customHeight="1">
      <c r="B30" s="566"/>
      <c r="C30" s="566"/>
      <c r="D30" s="566"/>
      <c r="E30" s="566"/>
      <c r="F30" s="566"/>
      <c r="G30" s="374"/>
      <c r="H30" s="578"/>
      <c r="K30" s="322"/>
      <c r="L30" s="322"/>
      <c r="M30" s="322"/>
      <c r="N30" s="322"/>
      <c r="O30" s="322"/>
      <c r="P30" s="322"/>
      <c r="Q30" s="322"/>
      <c r="R30" s="322"/>
    </row>
    <row r="31" spans="2:18" ht="21" customHeight="1">
      <c r="B31" s="566"/>
      <c r="C31" s="566"/>
      <c r="D31" s="566"/>
      <c r="E31" s="566"/>
      <c r="F31" s="566"/>
      <c r="G31" s="374"/>
      <c r="H31" s="578"/>
      <c r="K31" s="322"/>
      <c r="L31" s="322"/>
      <c r="M31" s="322"/>
      <c r="N31" s="322"/>
      <c r="O31" s="322"/>
      <c r="P31" s="322"/>
      <c r="Q31" s="322"/>
      <c r="R31" s="322"/>
    </row>
    <row r="32" spans="2:18" ht="21" customHeight="1">
      <c r="B32" s="566"/>
      <c r="C32" s="566"/>
      <c r="D32" s="566"/>
      <c r="E32" s="566"/>
      <c r="F32" s="566"/>
      <c r="G32" s="374"/>
      <c r="H32" s="578"/>
    </row>
    <row r="33" spans="2:8" ht="21" customHeight="1">
      <c r="B33" s="566"/>
      <c r="C33" s="566"/>
      <c r="D33" s="566"/>
      <c r="E33" s="566"/>
      <c r="F33" s="566"/>
      <c r="G33" s="374"/>
      <c r="H33" s="578"/>
    </row>
    <row r="34" spans="2:8" ht="21" customHeight="1">
      <c r="B34" s="566"/>
      <c r="C34" s="566"/>
      <c r="D34" s="566"/>
      <c r="E34" s="566"/>
      <c r="F34" s="566"/>
      <c r="G34" s="374"/>
      <c r="H34" s="578"/>
    </row>
    <row r="35" spans="2:8" ht="21" customHeight="1">
      <c r="B35" s="566"/>
      <c r="C35" s="566"/>
      <c r="D35" s="566"/>
      <c r="E35" s="566"/>
      <c r="F35" s="566"/>
      <c r="G35" s="374"/>
      <c r="H35" s="578"/>
    </row>
    <row r="36" spans="2:8" ht="21" customHeight="1">
      <c r="B36" s="566"/>
      <c r="C36" s="566"/>
      <c r="D36" s="566"/>
      <c r="E36" s="566"/>
      <c r="F36" s="566"/>
      <c r="G36" s="374"/>
      <c r="H36" s="578"/>
    </row>
    <row r="37" spans="2:8" ht="21" customHeight="1">
      <c r="B37" s="566"/>
      <c r="C37" s="566"/>
      <c r="D37" s="566"/>
      <c r="E37" s="566"/>
      <c r="F37" s="566"/>
      <c r="G37" s="374"/>
      <c r="H37" s="578"/>
    </row>
    <row r="38" spans="2:8" ht="21" customHeight="1">
      <c r="B38" s="566"/>
      <c r="C38" s="566"/>
      <c r="D38" s="566"/>
      <c r="E38" s="566"/>
      <c r="F38" s="566"/>
      <c r="G38" s="374"/>
      <c r="H38" s="578"/>
    </row>
    <row r="39" spans="2:8" ht="21" customHeight="1" thickBot="1">
      <c r="B39" s="566"/>
      <c r="C39" s="566"/>
      <c r="D39" s="566"/>
      <c r="E39" s="566"/>
      <c r="F39" s="566"/>
      <c r="G39" s="374"/>
      <c r="H39" s="578"/>
    </row>
    <row r="40" spans="2:8" ht="21" customHeight="1" thickBot="1">
      <c r="B40" s="323"/>
      <c r="C40" s="323"/>
      <c r="D40" s="323" t="s">
        <v>1000</v>
      </c>
      <c r="E40" s="323"/>
      <c r="F40" s="323"/>
      <c r="G40" s="240">
        <f>SUM(G9:G39)</f>
        <v>0</v>
      </c>
      <c r="H40" s="241">
        <f>SUM(H9:H39)</f>
        <v>0</v>
      </c>
    </row>
    <row r="41" spans="2:8" ht="13.8" thickTop="1">
      <c r="B41" s="1511" t="s">
        <v>127</v>
      </c>
      <c r="C41" s="1511"/>
      <c r="D41" s="1511"/>
      <c r="E41" s="1511"/>
      <c r="F41" s="1511"/>
      <c r="G41" s="1511"/>
      <c r="H41" s="1511"/>
    </row>
    <row r="42" spans="2:8">
      <c r="B42" s="8" t="s">
        <v>133</v>
      </c>
      <c r="C42" s="9"/>
      <c r="D42" s="1"/>
      <c r="E42" s="1"/>
      <c r="F42" s="1"/>
      <c r="G42" s="1"/>
      <c r="H42" s="1"/>
    </row>
    <row r="43" spans="2:8">
      <c r="B43" s="9"/>
      <c r="C43" s="8" t="s">
        <v>779</v>
      </c>
      <c r="D43" s="1"/>
      <c r="E43" s="1"/>
      <c r="F43" s="1"/>
      <c r="G43" s="1"/>
      <c r="H43" s="1"/>
    </row>
    <row r="44" spans="2:8">
      <c r="B44" s="9"/>
      <c r="C44" s="8"/>
      <c r="D44" s="1"/>
      <c r="E44" s="1"/>
      <c r="F44" s="1"/>
      <c r="G44" s="1"/>
      <c r="H44" s="1"/>
    </row>
    <row r="45" spans="2:8">
      <c r="B45" s="1"/>
      <c r="C45" s="1"/>
      <c r="D45" s="1"/>
      <c r="E45" s="1"/>
      <c r="F45" s="1"/>
      <c r="G45" s="1"/>
      <c r="H45" s="1"/>
    </row>
    <row r="46" spans="2:8" ht="13.8">
      <c r="B46" s="1507" t="s">
        <v>132</v>
      </c>
      <c r="C46" s="1507"/>
      <c r="D46" s="1507"/>
      <c r="E46" s="1507"/>
      <c r="F46" s="1507"/>
      <c r="G46" s="1507"/>
      <c r="H46" s="1507"/>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7">
    <mergeCell ref="B8:F8"/>
    <mergeCell ref="B41:H41"/>
    <mergeCell ref="B46:H46"/>
    <mergeCell ref="B3:H3"/>
    <mergeCell ref="B4:H4"/>
    <mergeCell ref="B5:H5"/>
    <mergeCell ref="B6:H6"/>
  </mergeCells>
  <phoneticPr fontId="0" type="noConversion"/>
  <pageMargins left="0.25" right="0.25" top="0.5" bottom="0.5" header="0.25" footer="0.25"/>
  <pageSetup paperSize="5" orientation="portrait" r:id="rId5"/>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29">
    <pageSetUpPr fitToPage="1"/>
  </sheetPr>
  <dimension ref="B2:AE47"/>
  <sheetViews>
    <sheetView topLeftCell="A31" zoomScaleNormal="100" workbookViewId="0">
      <selection activeCell="O11" sqref="O11"/>
    </sheetView>
  </sheetViews>
  <sheetFormatPr defaultRowHeight="13.2"/>
  <cols>
    <col min="1" max="4" width="4.6640625" customWidth="1"/>
    <col min="5" max="5" width="17.88671875" customWidth="1"/>
    <col min="7" max="7" width="16.6640625" customWidth="1"/>
    <col min="8" max="8" width="1.6640625" customWidth="1"/>
    <col min="9" max="9" width="15.6640625" customWidth="1"/>
    <col min="10" max="10" width="1.6640625" customWidth="1"/>
    <col min="11" max="11" width="8.6640625" customWidth="1"/>
    <col min="12" max="12" width="7.6640625" customWidth="1"/>
  </cols>
  <sheetData>
    <row r="2" spans="2:24" ht="20.399999999999999">
      <c r="B2" s="1508" t="s">
        <v>160</v>
      </c>
      <c r="C2" s="1508"/>
      <c r="D2" s="1508"/>
      <c r="E2" s="1508"/>
      <c r="F2" s="1508"/>
      <c r="G2" s="1508"/>
      <c r="H2" s="1508"/>
      <c r="I2" s="1508"/>
      <c r="J2" s="1508"/>
      <c r="K2" s="1508"/>
      <c r="L2" s="1508"/>
    </row>
    <row r="3" spans="2:24" ht="20.399999999999999">
      <c r="B3" s="1508" t="str">
        <f>" AND "&amp;TEXT('KEY INPUTS'!D33,"0")&amp;" DEBT  SERVICE  FOR  BONDS"</f>
        <v xml:space="preserve"> AND 2020 DEBT  SERVICE  FOR  BONDS</v>
      </c>
      <c r="C3" s="1508"/>
      <c r="D3" s="1508"/>
      <c r="E3" s="1508"/>
      <c r="F3" s="1508"/>
      <c r="G3" s="1508"/>
      <c r="H3" s="1508"/>
      <c r="I3" s="1508"/>
      <c r="J3" s="1508"/>
      <c r="K3" s="1508"/>
      <c r="L3" s="1508"/>
    </row>
    <row r="4" spans="2:24" ht="15.6">
      <c r="B4" s="1509" t="s">
        <v>3772</v>
      </c>
      <c r="C4" s="1509"/>
      <c r="D4" s="1509"/>
      <c r="E4" s="1509"/>
      <c r="F4" s="1509"/>
      <c r="G4" s="1509"/>
      <c r="H4" s="1509"/>
      <c r="I4" s="1509"/>
      <c r="J4" s="1509"/>
      <c r="K4" s="1509"/>
      <c r="L4" s="1509"/>
      <c r="N4" s="324"/>
    </row>
    <row r="5" spans="2:24" ht="9.75" customHeight="1" thickBot="1">
      <c r="B5" s="108"/>
      <c r="C5" s="108"/>
      <c r="D5" s="108"/>
      <c r="E5" s="108"/>
      <c r="F5" s="108"/>
      <c r="G5" s="108"/>
      <c r="H5" s="108"/>
      <c r="I5" s="108"/>
      <c r="J5" s="108"/>
      <c r="K5" s="108"/>
      <c r="L5" s="108"/>
    </row>
    <row r="6" spans="2:24" ht="27.75" customHeight="1" thickTop="1" thickBot="1">
      <c r="B6" s="61"/>
      <c r="C6" s="61"/>
      <c r="D6" s="61"/>
      <c r="E6" s="61"/>
      <c r="F6" s="61"/>
      <c r="G6" s="4" t="s">
        <v>125</v>
      </c>
      <c r="H6" s="1633" t="s">
        <v>126</v>
      </c>
      <c r="I6" s="1554"/>
      <c r="J6" s="1659" t="str">
        <f>TEXT('KEY INPUTS'!D33,"0")&amp;"  Debt       Service"</f>
        <v>2020  Debt       Service</v>
      </c>
      <c r="K6" s="1675"/>
      <c r="L6" s="1676"/>
    </row>
    <row r="7" spans="2:24" ht="21" customHeight="1" thickTop="1">
      <c r="B7" s="22" t="str">
        <f>'KEY INPUTS'!D27</f>
        <v>Outstanding - January 1, 2019</v>
      </c>
      <c r="C7" s="22"/>
      <c r="D7" s="22"/>
      <c r="E7" s="22"/>
      <c r="F7" s="22" t="s">
        <v>112</v>
      </c>
      <c r="G7" s="145" t="s">
        <v>787</v>
      </c>
      <c r="H7" s="1651">
        <v>15610000</v>
      </c>
      <c r="I7" s="1652"/>
      <c r="J7" s="74"/>
      <c r="K7" s="286"/>
      <c r="L7" s="810"/>
    </row>
    <row r="8" spans="2:24" ht="21" customHeight="1">
      <c r="B8" s="5" t="s">
        <v>113</v>
      </c>
      <c r="C8" s="5"/>
      <c r="D8" s="5"/>
      <c r="E8" s="5"/>
      <c r="F8" s="5" t="s">
        <v>114</v>
      </c>
      <c r="G8" s="146" t="s">
        <v>787</v>
      </c>
      <c r="H8" s="1651"/>
      <c r="I8" s="1652"/>
      <c r="J8" s="74"/>
      <c r="K8" s="286"/>
      <c r="L8" s="810"/>
      <c r="P8" s="322"/>
      <c r="Q8" s="322"/>
      <c r="R8" s="322"/>
      <c r="S8" s="322"/>
      <c r="T8" s="322"/>
      <c r="U8" s="322"/>
      <c r="V8" s="322"/>
      <c r="W8" s="322"/>
      <c r="X8" s="322"/>
    </row>
    <row r="9" spans="2:24" ht="21" customHeight="1">
      <c r="B9" s="5" t="s">
        <v>326</v>
      </c>
      <c r="C9" s="5"/>
      <c r="D9" s="5"/>
      <c r="E9" s="5"/>
      <c r="F9" s="5" t="s">
        <v>115</v>
      </c>
      <c r="G9" s="374">
        <v>1300000</v>
      </c>
      <c r="H9" s="1661" t="s">
        <v>787</v>
      </c>
      <c r="I9" s="1662"/>
      <c r="J9" s="74"/>
      <c r="K9" s="286"/>
      <c r="L9" s="810"/>
      <c r="P9" s="322"/>
      <c r="Q9" s="322"/>
      <c r="R9" s="322"/>
      <c r="S9" s="322"/>
      <c r="T9" s="322"/>
      <c r="U9" s="322"/>
      <c r="V9" s="322"/>
      <c r="W9" s="322"/>
      <c r="X9" s="322"/>
    </row>
    <row r="10" spans="2:24" ht="21" customHeight="1">
      <c r="B10" s="566"/>
      <c r="C10" s="566"/>
      <c r="D10" s="566"/>
      <c r="E10" s="566"/>
      <c r="F10" s="566"/>
      <c r="G10" s="374"/>
      <c r="H10" s="1651"/>
      <c r="I10" s="1652"/>
      <c r="J10" s="74"/>
      <c r="K10" s="286"/>
      <c r="L10" s="810"/>
      <c r="P10" s="322"/>
      <c r="Q10" s="322"/>
      <c r="R10" s="322"/>
      <c r="S10" s="322"/>
      <c r="T10" s="322"/>
      <c r="U10" s="322"/>
      <c r="V10" s="322"/>
      <c r="W10" s="322"/>
      <c r="X10" s="322"/>
    </row>
    <row r="11" spans="2:24" ht="21" customHeight="1">
      <c r="B11" s="566"/>
      <c r="C11" s="566"/>
      <c r="D11" s="566"/>
      <c r="E11" s="566"/>
      <c r="F11" s="566"/>
      <c r="G11" s="374"/>
      <c r="H11" s="1651"/>
      <c r="I11" s="1652"/>
      <c r="J11" s="74"/>
      <c r="K11" s="286"/>
      <c r="L11" s="810"/>
      <c r="P11" s="322"/>
      <c r="Q11" s="322"/>
      <c r="R11" s="322"/>
      <c r="S11" s="322"/>
      <c r="T11" s="322"/>
      <c r="U11" s="322"/>
      <c r="V11" s="322"/>
      <c r="W11" s="322"/>
      <c r="X11" s="322"/>
    </row>
    <row r="12" spans="2:24" ht="21" customHeight="1" thickBot="1">
      <c r="B12" s="5" t="str">
        <f>'KEY INPUTS'!D28</f>
        <v>Outstanding - December 31, 2019</v>
      </c>
      <c r="C12" s="5"/>
      <c r="D12" s="5"/>
      <c r="E12" s="5"/>
      <c r="F12" s="5" t="s">
        <v>116</v>
      </c>
      <c r="G12" s="76">
        <f>+H7+H8-G9-G10-G11+H10+H11</f>
        <v>14310000</v>
      </c>
      <c r="H12" s="1663" t="s">
        <v>787</v>
      </c>
      <c r="I12" s="1664"/>
      <c r="J12" s="74"/>
      <c r="K12" s="286"/>
      <c r="L12" s="810"/>
      <c r="P12" s="322"/>
      <c r="Q12" s="322"/>
      <c r="R12" s="322"/>
      <c r="S12" s="322"/>
      <c r="T12" s="322"/>
      <c r="U12" s="322"/>
      <c r="V12" s="322"/>
      <c r="W12" s="322"/>
      <c r="X12" s="322"/>
    </row>
    <row r="13" spans="2:24" ht="21" customHeight="1" thickBot="1">
      <c r="G13" s="79">
        <f>SUM(G7:G12)</f>
        <v>15610000</v>
      </c>
      <c r="H13" s="1667">
        <f>SUM(H7:I12)</f>
        <v>15610000</v>
      </c>
      <c r="I13" s="1668"/>
      <c r="J13" s="74"/>
      <c r="K13" s="286"/>
      <c r="L13" s="810"/>
      <c r="P13" s="322"/>
      <c r="Q13" s="322"/>
      <c r="R13" s="322"/>
      <c r="S13" s="322"/>
      <c r="T13" s="322"/>
      <c r="U13" s="322"/>
      <c r="V13" s="322"/>
      <c r="W13" s="322"/>
      <c r="X13" s="322"/>
    </row>
    <row r="14" spans="2:24" ht="21" customHeight="1" thickTop="1">
      <c r="B14" s="284" t="str">
        <f>TEXT('KEY INPUTS'!D33,"0")&amp;" Bond Maturities - General Capital Bonds"</f>
        <v>2020 Bond Maturities - General Capital Bonds</v>
      </c>
      <c r="C14" s="30"/>
      <c r="D14" s="30"/>
      <c r="E14" s="30"/>
      <c r="F14" s="30"/>
      <c r="G14" s="30"/>
      <c r="H14" s="30"/>
      <c r="I14" s="121" t="s">
        <v>117</v>
      </c>
      <c r="J14" s="744" t="s">
        <v>482</v>
      </c>
      <c r="K14" s="1671">
        <v>1345000</v>
      </c>
      <c r="L14" s="1672"/>
      <c r="P14" s="322"/>
      <c r="Q14" s="322"/>
      <c r="R14" s="322"/>
      <c r="S14" s="322"/>
      <c r="T14" s="322"/>
      <c r="U14" s="322"/>
      <c r="V14" s="322"/>
      <c r="W14" s="322"/>
      <c r="X14" s="322"/>
    </row>
    <row r="15" spans="2:24" ht="21" customHeight="1" thickBot="1">
      <c r="B15" s="27" t="str">
        <f>TEXT('KEY INPUTS'!D33,"0")&amp;" Interest on Bonds*"</f>
        <v>2020 Interest on Bonds*</v>
      </c>
      <c r="C15" s="27"/>
      <c r="D15" s="27"/>
      <c r="E15" s="27"/>
      <c r="F15" s="27"/>
      <c r="G15" s="77" t="s">
        <v>118</v>
      </c>
      <c r="H15" s="27" t="s">
        <v>482</v>
      </c>
      <c r="I15" s="1084">
        <v>432081.25</v>
      </c>
      <c r="J15" s="74"/>
      <c r="K15" s="286"/>
      <c r="L15" s="810"/>
      <c r="P15" s="322"/>
      <c r="Q15" s="377"/>
      <c r="R15" s="322"/>
      <c r="S15" s="322"/>
      <c r="T15" s="322"/>
      <c r="U15" s="322"/>
      <c r="V15" s="322"/>
      <c r="W15" s="322"/>
      <c r="X15" s="322"/>
    </row>
    <row r="16" spans="2:24" ht="16.5" customHeight="1" thickTop="1">
      <c r="B16" s="1665"/>
      <c r="C16" s="1665"/>
      <c r="D16" s="1665"/>
      <c r="E16" s="1665"/>
      <c r="F16" s="1665"/>
      <c r="G16" s="1665"/>
      <c r="H16" s="1665"/>
      <c r="I16" s="1666"/>
      <c r="J16" s="74"/>
      <c r="K16" s="286"/>
      <c r="L16" s="810"/>
      <c r="P16" s="322"/>
      <c r="Q16" s="322"/>
      <c r="R16" s="322"/>
      <c r="S16" s="322"/>
      <c r="T16" s="322"/>
      <c r="U16" s="322"/>
      <c r="V16" s="322"/>
      <c r="W16" s="322"/>
      <c r="X16" s="322"/>
    </row>
    <row r="17" spans="2:24" ht="26.25" customHeight="1" thickBot="1">
      <c r="B17" s="1669" t="s">
        <v>119</v>
      </c>
      <c r="C17" s="1669"/>
      <c r="D17" s="1669"/>
      <c r="E17" s="1669"/>
      <c r="F17" s="1669"/>
      <c r="G17" s="1669"/>
      <c r="H17" s="1669"/>
      <c r="I17" s="1670"/>
      <c r="J17" s="74"/>
      <c r="K17" s="286"/>
      <c r="L17" s="810"/>
      <c r="P17" s="322"/>
      <c r="Q17" s="322"/>
      <c r="R17" s="322"/>
      <c r="S17" s="322"/>
      <c r="T17" s="322"/>
      <c r="U17" s="322"/>
      <c r="V17" s="322"/>
      <c r="W17" s="322"/>
      <c r="X17" s="322"/>
    </row>
    <row r="18" spans="2:24" ht="21" customHeight="1" thickTop="1">
      <c r="B18" s="22" t="str">
        <f>B7</f>
        <v>Outstanding - January 1, 2019</v>
      </c>
      <c r="C18" s="22"/>
      <c r="D18" s="22"/>
      <c r="E18" s="22"/>
      <c r="F18" s="22" t="s">
        <v>120</v>
      </c>
      <c r="G18" s="145" t="s">
        <v>787</v>
      </c>
      <c r="H18" s="1651">
        <v>0</v>
      </c>
      <c r="I18" s="1652"/>
      <c r="J18" s="74"/>
      <c r="K18" s="286"/>
      <c r="L18" s="810"/>
      <c r="P18" s="322"/>
      <c r="Q18" s="322"/>
      <c r="R18" s="322"/>
      <c r="S18" s="322"/>
      <c r="T18" s="322"/>
      <c r="U18" s="322"/>
      <c r="V18" s="322"/>
      <c r="W18" s="322"/>
      <c r="X18" s="322"/>
    </row>
    <row r="19" spans="2:24" ht="21" customHeight="1">
      <c r="B19" s="5" t="s">
        <v>113</v>
      </c>
      <c r="C19" s="5"/>
      <c r="D19" s="5"/>
      <c r="E19" s="5"/>
      <c r="F19" s="5" t="s">
        <v>121</v>
      </c>
      <c r="G19" s="146" t="s">
        <v>787</v>
      </c>
      <c r="H19" s="1651"/>
      <c r="I19" s="1652"/>
      <c r="J19" s="74"/>
      <c r="K19" s="286"/>
      <c r="L19" s="810"/>
      <c r="P19" s="322"/>
      <c r="Q19" s="322"/>
      <c r="R19" s="322"/>
      <c r="S19" s="322"/>
      <c r="T19" s="322"/>
      <c r="U19" s="322"/>
      <c r="V19" s="322"/>
      <c r="W19" s="322"/>
      <c r="X19" s="322"/>
    </row>
    <row r="20" spans="2:24" ht="21" customHeight="1">
      <c r="B20" s="5" t="s">
        <v>326</v>
      </c>
      <c r="C20" s="5"/>
      <c r="D20" s="5"/>
      <c r="E20" s="5"/>
      <c r="F20" s="5" t="s">
        <v>122</v>
      </c>
      <c r="G20" s="374"/>
      <c r="H20" s="1661" t="s">
        <v>787</v>
      </c>
      <c r="I20" s="1662"/>
      <c r="J20" s="74"/>
      <c r="K20" s="286"/>
      <c r="L20" s="810"/>
      <c r="P20" s="322"/>
      <c r="Q20" s="322"/>
      <c r="R20" s="322"/>
      <c r="S20" s="322"/>
      <c r="T20" s="322"/>
      <c r="U20" s="322"/>
      <c r="V20" s="322"/>
      <c r="W20" s="322"/>
      <c r="X20" s="322"/>
    </row>
    <row r="21" spans="2:24" ht="21" customHeight="1">
      <c r="B21" s="566"/>
      <c r="C21" s="566"/>
      <c r="D21" s="566"/>
      <c r="E21" s="566"/>
      <c r="F21" s="566"/>
      <c r="G21" s="374"/>
      <c r="H21" s="1651"/>
      <c r="I21" s="1652"/>
      <c r="J21" s="74"/>
      <c r="K21" s="286"/>
      <c r="L21" s="810"/>
      <c r="P21" s="322"/>
      <c r="Q21" s="322"/>
      <c r="R21" s="322"/>
      <c r="S21" s="322"/>
      <c r="T21" s="322"/>
      <c r="U21" s="322"/>
      <c r="V21" s="322"/>
      <c r="W21" s="322"/>
      <c r="X21" s="322"/>
    </row>
    <row r="22" spans="2:24" ht="21" customHeight="1">
      <c r="B22" s="566"/>
      <c r="C22" s="566"/>
      <c r="D22" s="566"/>
      <c r="E22" s="566"/>
      <c r="F22" s="566"/>
      <c r="G22" s="374"/>
      <c r="H22" s="1651"/>
      <c r="I22" s="1652"/>
      <c r="J22" s="74"/>
      <c r="K22" s="286"/>
      <c r="L22" s="810"/>
      <c r="P22" s="322"/>
      <c r="Q22" s="322"/>
      <c r="R22" s="322"/>
      <c r="S22" s="322"/>
      <c r="T22" s="322"/>
      <c r="U22" s="322"/>
      <c r="V22" s="322"/>
      <c r="W22" s="322"/>
      <c r="X22" s="322"/>
    </row>
    <row r="23" spans="2:24" ht="21" customHeight="1" thickBot="1">
      <c r="B23" s="5" t="str">
        <f>B12</f>
        <v>Outstanding - December 31, 2019</v>
      </c>
      <c r="C23" s="5"/>
      <c r="D23" s="5"/>
      <c r="E23" s="5"/>
      <c r="F23" s="5" t="s">
        <v>698</v>
      </c>
      <c r="G23" s="76">
        <f>+H18+H19-G20-G21-G22+H21+H22</f>
        <v>0</v>
      </c>
      <c r="H23" s="1663" t="s">
        <v>787</v>
      </c>
      <c r="I23" s="1664"/>
      <c r="J23" s="74"/>
      <c r="K23" s="286"/>
      <c r="L23" s="810"/>
      <c r="P23" s="322"/>
      <c r="Q23" s="322"/>
      <c r="R23" s="322"/>
      <c r="S23" s="322"/>
      <c r="T23" s="322"/>
      <c r="U23" s="322"/>
      <c r="V23" s="322"/>
      <c r="W23" s="322"/>
      <c r="X23" s="322"/>
    </row>
    <row r="24" spans="2:24" ht="21" customHeight="1" thickBot="1">
      <c r="G24" s="79">
        <f>SUM(G18:G23)</f>
        <v>0</v>
      </c>
      <c r="H24" s="1667">
        <f>SUM(H18:I23)</f>
        <v>0</v>
      </c>
      <c r="I24" s="1668"/>
      <c r="J24" s="74"/>
      <c r="K24" s="286"/>
      <c r="L24" s="810"/>
      <c r="P24" s="322"/>
      <c r="Q24" s="322"/>
      <c r="R24" s="322"/>
      <c r="S24" s="322"/>
      <c r="T24" s="322"/>
      <c r="U24" s="322"/>
      <c r="V24" s="322"/>
      <c r="W24" s="322"/>
      <c r="X24" s="322"/>
    </row>
    <row r="25" spans="2:24" ht="21" customHeight="1" thickTop="1">
      <c r="B25" s="284" t="str">
        <f>TEXT('KEY INPUTS'!D33,"0")&amp;" Bond Maturities - Assessment Bonds"</f>
        <v>2020 Bond Maturities - Assessment Bonds</v>
      </c>
      <c r="C25" s="30"/>
      <c r="D25" s="30"/>
      <c r="E25" s="30"/>
      <c r="F25" s="30"/>
      <c r="G25" s="30"/>
      <c r="H25" s="30"/>
      <c r="I25" s="121" t="s">
        <v>699</v>
      </c>
      <c r="J25" s="744" t="s">
        <v>482</v>
      </c>
      <c r="K25" s="1671"/>
      <c r="L25" s="1672"/>
      <c r="P25" s="322"/>
      <c r="Q25" s="322"/>
      <c r="R25" s="322"/>
      <c r="S25" s="322"/>
      <c r="T25" s="322"/>
      <c r="U25" s="322"/>
      <c r="V25" s="322"/>
      <c r="W25" s="322"/>
      <c r="X25" s="322"/>
    </row>
    <row r="26" spans="2:24" ht="21" customHeight="1" thickBot="1">
      <c r="B26" s="27" t="str">
        <f>B15</f>
        <v>2020 Interest on Bonds*</v>
      </c>
      <c r="C26" s="27"/>
      <c r="D26" s="27"/>
      <c r="E26" s="27"/>
      <c r="F26" s="27"/>
      <c r="G26" s="77" t="s">
        <v>700</v>
      </c>
      <c r="H26" s="27" t="s">
        <v>482</v>
      </c>
      <c r="I26" s="1084"/>
      <c r="J26" s="74"/>
      <c r="K26" s="286"/>
      <c r="L26" s="810"/>
      <c r="P26" s="322"/>
      <c r="Q26" s="322"/>
      <c r="R26" s="322"/>
      <c r="S26" s="322"/>
      <c r="T26" s="322"/>
      <c r="U26" s="322"/>
      <c r="V26" s="322"/>
      <c r="W26" s="322"/>
      <c r="X26" s="322"/>
    </row>
    <row r="27" spans="2:24" ht="21" customHeight="1" thickTop="1" thickBot="1">
      <c r="B27" s="10" t="s">
        <v>701</v>
      </c>
      <c r="C27" s="10"/>
      <c r="D27" s="10"/>
      <c r="E27" s="10"/>
      <c r="F27" s="10"/>
      <c r="G27" s="10"/>
      <c r="H27" s="10"/>
      <c r="I27" s="140" t="s">
        <v>702</v>
      </c>
      <c r="J27" s="17" t="s">
        <v>482</v>
      </c>
      <c r="K27" s="1673">
        <f>+I26+I15</f>
        <v>432081.25</v>
      </c>
      <c r="L27" s="1674"/>
    </row>
    <row r="28" spans="2:24" ht="21" customHeight="1" thickTop="1"/>
    <row r="29" spans="2:24" ht="21" customHeight="1" thickBot="1">
      <c r="B29" s="1653" t="str">
        <f>"LIST  OF  BONDS  ISSUED  DURING "&amp;TEXT('KEY INPUTS'!D34,"0")</f>
        <v>LIST  OF  BONDS  ISSUED  DURING 2019</v>
      </c>
      <c r="C29" s="1653"/>
      <c r="D29" s="1653"/>
      <c r="E29" s="1653"/>
      <c r="F29" s="1653"/>
      <c r="G29" s="1653"/>
      <c r="H29" s="1653"/>
      <c r="I29" s="1653"/>
      <c r="J29" s="1653"/>
      <c r="K29" s="1653"/>
      <c r="L29" s="1653"/>
    </row>
    <row r="30" spans="2:24" ht="27" customHeight="1" thickTop="1" thickBot="1">
      <c r="B30" s="1553" t="s">
        <v>532</v>
      </c>
      <c r="C30" s="1553"/>
      <c r="D30" s="1553"/>
      <c r="E30" s="1553"/>
      <c r="F30" s="1553"/>
      <c r="G30" s="4" t="str">
        <f>TEXT('KEY INPUTS'!D33,"0")&amp;" Maturity"</f>
        <v>2020 Maturity</v>
      </c>
      <c r="H30" s="1633" t="s">
        <v>109</v>
      </c>
      <c r="I30" s="1554"/>
      <c r="J30" s="1659" t="s">
        <v>107</v>
      </c>
      <c r="K30" s="1660"/>
      <c r="L30" s="811" t="s">
        <v>108</v>
      </c>
    </row>
    <row r="31" spans="2:24" ht="21" customHeight="1" thickTop="1">
      <c r="B31" s="569"/>
      <c r="C31" s="569"/>
      <c r="D31" s="569"/>
      <c r="E31" s="569"/>
      <c r="F31" s="569"/>
      <c r="G31" s="571"/>
      <c r="H31" s="1657"/>
      <c r="I31" s="1658"/>
      <c r="J31" s="1656"/>
      <c r="K31" s="1648"/>
      <c r="L31" s="951"/>
    </row>
    <row r="32" spans="2:24" ht="21" customHeight="1">
      <c r="B32" s="566"/>
      <c r="C32" s="566"/>
      <c r="D32" s="566"/>
      <c r="E32" s="566"/>
      <c r="F32" s="566"/>
      <c r="G32" s="374"/>
      <c r="H32" s="1651"/>
      <c r="I32" s="1652"/>
      <c r="J32" s="1650"/>
      <c r="K32" s="1645"/>
      <c r="L32" s="952"/>
    </row>
    <row r="33" spans="2:31" ht="21" customHeight="1">
      <c r="B33" s="566"/>
      <c r="C33" s="566"/>
      <c r="D33" s="566"/>
      <c r="E33" s="566"/>
      <c r="F33" s="566"/>
      <c r="G33" s="374"/>
      <c r="H33" s="1651"/>
      <c r="I33" s="1652"/>
      <c r="J33" s="1650"/>
      <c r="K33" s="1645"/>
      <c r="L33" s="952"/>
    </row>
    <row r="34" spans="2:31" ht="21" customHeight="1">
      <c r="B34" s="566"/>
      <c r="C34" s="566"/>
      <c r="D34" s="566"/>
      <c r="E34" s="566"/>
      <c r="F34" s="566"/>
      <c r="G34" s="374"/>
      <c r="H34" s="1651"/>
      <c r="I34" s="1652"/>
      <c r="J34" s="1650"/>
      <c r="K34" s="1645"/>
      <c r="L34" s="952"/>
    </row>
    <row r="35" spans="2:31" ht="21" customHeight="1">
      <c r="B35" s="566"/>
      <c r="C35" s="566"/>
      <c r="D35" s="566"/>
      <c r="E35" s="566"/>
      <c r="F35" s="566"/>
      <c r="G35" s="374"/>
      <c r="H35" s="1651"/>
      <c r="I35" s="1652"/>
      <c r="J35" s="1650"/>
      <c r="K35" s="1645"/>
      <c r="L35" s="952"/>
    </row>
    <row r="36" spans="2:31" ht="21" customHeight="1">
      <c r="B36" s="566"/>
      <c r="C36" s="566"/>
      <c r="D36" s="566"/>
      <c r="E36" s="566"/>
      <c r="F36" s="566"/>
      <c r="G36" s="374"/>
      <c r="H36" s="1651"/>
      <c r="I36" s="1652"/>
      <c r="J36" s="1650"/>
      <c r="K36" s="1645"/>
      <c r="L36" s="952"/>
    </row>
    <row r="37" spans="2:31" ht="21" customHeight="1">
      <c r="B37" s="566"/>
      <c r="C37" s="566"/>
      <c r="D37" s="566"/>
      <c r="E37" s="566"/>
      <c r="F37" s="566"/>
      <c r="G37" s="374"/>
      <c r="H37" s="1651"/>
      <c r="I37" s="1652"/>
      <c r="J37" s="1650"/>
      <c r="K37" s="1645"/>
      <c r="L37" s="952"/>
    </row>
    <row r="38" spans="2:31" ht="21" customHeight="1">
      <c r="B38" s="566"/>
      <c r="C38" s="566"/>
      <c r="D38" s="566"/>
      <c r="E38" s="566"/>
      <c r="F38" s="566"/>
      <c r="G38" s="374"/>
      <c r="H38" s="1651"/>
      <c r="I38" s="1652"/>
      <c r="J38" s="1650"/>
      <c r="K38" s="1645"/>
      <c r="L38" s="952"/>
    </row>
    <row r="39" spans="2:31" ht="21" customHeight="1" thickBot="1">
      <c r="B39" s="27"/>
      <c r="C39" s="27"/>
      <c r="D39" s="27"/>
      <c r="E39" s="27"/>
      <c r="F39" s="41" t="s">
        <v>260</v>
      </c>
      <c r="G39" s="79">
        <f>SUM(G31:G38)</f>
        <v>0</v>
      </c>
      <c r="H39" s="1654">
        <f>SUM(H31:I38)</f>
        <v>0</v>
      </c>
      <c r="I39" s="1655"/>
      <c r="J39" s="40"/>
      <c r="K39" s="27"/>
      <c r="L39" s="19"/>
    </row>
    <row r="40" spans="2:31" ht="13.8" thickTop="1">
      <c r="G40" s="57" t="s">
        <v>110</v>
      </c>
      <c r="H40" s="57"/>
      <c r="I40" s="57" t="s">
        <v>111</v>
      </c>
      <c r="AE40" s="322"/>
    </row>
    <row r="47" spans="2:31" ht="13.8">
      <c r="B47" s="1507" t="s">
        <v>703</v>
      </c>
      <c r="C47" s="1507"/>
      <c r="D47" s="1507"/>
      <c r="E47" s="1507"/>
      <c r="F47" s="1507"/>
      <c r="G47" s="1507"/>
      <c r="H47" s="1507"/>
      <c r="I47" s="1507"/>
      <c r="J47" s="1507"/>
      <c r="K47" s="1507"/>
      <c r="L47" s="1507"/>
    </row>
  </sheetData>
  <sheetProtection algorithmName="SHA-512" hashValue="6edpPcpKLO/nKpVCGpPkTKf0gon/W3TOYOjzut9YDGI2M3Ow/xURdD/w2V7w06OIMo082byA6XVol8TsnmaNMw==" saltValue="77ZdvSAacDZOkKrBzALwu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topLeftCell="A25">
      <selection activeCell="K15" sqref="K15"/>
      <pageMargins left="0.25" right="0.25" top="0.5" bottom="0.5" header="0.25" footer="0.25"/>
      <pageSetup paperSize="5" orientation="portrait" r:id="rId2"/>
      <headerFooter alignWithMargins="0"/>
    </customSheetView>
    <customSheetView guid="{A64E4C9E-A3DA-4AAA-8607-F524450B9436}" topLeftCell="A25">
      <selection activeCell="K15" sqref="K15"/>
      <pageMargins left="0.25" right="0.25" top="0.5" bottom="0.5" header="0.25" footer="0.25"/>
      <pageSetup paperSize="5" orientation="portrait" r:id="rId3"/>
      <headerFooter alignWithMargins="0"/>
    </customSheetView>
    <customSheetView guid="{AB4FBD91-4533-473A-9702-569FF6402073}">
      <selection activeCell="K15" sqref="K15"/>
      <pageMargins left="0.25" right="0.25" top="0.5" bottom="0.5" header="0.25" footer="0.25"/>
      <pageSetup paperSize="5" orientation="portrait" r:id="rId4"/>
      <headerFooter alignWithMargins="0"/>
    </customSheetView>
  </customSheetViews>
  <mergeCells count="46">
    <mergeCell ref="H8:I8"/>
    <mergeCell ref="B2:L2"/>
    <mergeCell ref="B3:L3"/>
    <mergeCell ref="B4:L4"/>
    <mergeCell ref="J6:L6"/>
    <mergeCell ref="H6:I6"/>
    <mergeCell ref="H7:I7"/>
    <mergeCell ref="K14:L14"/>
    <mergeCell ref="J35:K35"/>
    <mergeCell ref="H20:I20"/>
    <mergeCell ref="H10:I10"/>
    <mergeCell ref="H11:I11"/>
    <mergeCell ref="K25:L25"/>
    <mergeCell ref="K27:L27"/>
    <mergeCell ref="J34:K34"/>
    <mergeCell ref="H18:I18"/>
    <mergeCell ref="H19:I19"/>
    <mergeCell ref="H23:I23"/>
    <mergeCell ref="H22:I22"/>
    <mergeCell ref="H24:I24"/>
    <mergeCell ref="H9:I9"/>
    <mergeCell ref="H12:I12"/>
    <mergeCell ref="B16:I16"/>
    <mergeCell ref="H13:I13"/>
    <mergeCell ref="B17:I17"/>
    <mergeCell ref="B47:L47"/>
    <mergeCell ref="B29:L29"/>
    <mergeCell ref="H39:I39"/>
    <mergeCell ref="H33:I33"/>
    <mergeCell ref="J31:K31"/>
    <mergeCell ref="H34:I34"/>
    <mergeCell ref="H35:I35"/>
    <mergeCell ref="H36:I36"/>
    <mergeCell ref="H31:I31"/>
    <mergeCell ref="H37:I37"/>
    <mergeCell ref="H38:I38"/>
    <mergeCell ref="J38:K38"/>
    <mergeCell ref="J32:K32"/>
    <mergeCell ref="J36:K36"/>
    <mergeCell ref="J30:K30"/>
    <mergeCell ref="J33:K33"/>
    <mergeCell ref="J37:K37"/>
    <mergeCell ref="H32:I32"/>
    <mergeCell ref="B30:F30"/>
    <mergeCell ref="H30:I30"/>
    <mergeCell ref="H21:I21"/>
  </mergeCells>
  <phoneticPr fontId="0" type="noConversion"/>
  <pageMargins left="0.25" right="0.25" top="0.5" bottom="0.5" header="0.25" footer="0.25"/>
  <pageSetup paperSize="5" orientation="portrait" r:id="rId5"/>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0">
    <pageSetUpPr fitToPage="1"/>
  </sheetPr>
  <dimension ref="B2:W47"/>
  <sheetViews>
    <sheetView topLeftCell="A37" zoomScaleNormal="100" workbookViewId="0">
      <selection activeCell="K16" sqref="K16:L16"/>
    </sheetView>
  </sheetViews>
  <sheetFormatPr defaultRowHeight="13.2"/>
  <cols>
    <col min="1" max="4" width="4.6640625" customWidth="1"/>
    <col min="5" max="5" width="17.88671875" customWidth="1"/>
    <col min="7" max="7" width="16.6640625" customWidth="1"/>
    <col min="8" max="8" width="1.6640625" customWidth="1"/>
    <col min="9" max="9" width="15.6640625" customWidth="1"/>
    <col min="10" max="10" width="1.6640625" customWidth="1"/>
    <col min="11" max="11" width="8.6640625" customWidth="1"/>
    <col min="12" max="12" width="7.6640625" customWidth="1"/>
  </cols>
  <sheetData>
    <row r="2" spans="2:23" ht="20.399999999999999">
      <c r="B2" s="1596" t="s">
        <v>606</v>
      </c>
      <c r="C2" s="1596"/>
      <c r="D2" s="1596"/>
      <c r="E2" s="1596"/>
      <c r="F2" s="1596"/>
      <c r="G2" s="1596"/>
      <c r="H2" s="1596"/>
      <c r="I2" s="1596"/>
      <c r="J2" s="1596"/>
      <c r="K2" s="1596"/>
      <c r="L2" s="1596"/>
    </row>
    <row r="3" spans="2:23" ht="20.399999999999999">
      <c r="B3" s="1596" t="str">
        <f>" AND "&amp;TEXT('KEY INPUTS'!D33,"0")&amp;" DEBT  SERVICE  FOR  LOANS"</f>
        <v xml:space="preserve"> AND 2020 DEBT  SERVICE  FOR  LOANS</v>
      </c>
      <c r="C3" s="1596"/>
      <c r="D3" s="1596"/>
      <c r="E3" s="1596"/>
      <c r="F3" s="1596"/>
      <c r="G3" s="1596"/>
      <c r="H3" s="1596"/>
      <c r="I3" s="1596"/>
      <c r="J3" s="1596"/>
      <c r="K3" s="1596"/>
      <c r="L3" s="1596"/>
    </row>
    <row r="4" spans="2:23" ht="15.6">
      <c r="B4" s="1689" t="s">
        <v>3901</v>
      </c>
      <c r="C4" s="1689"/>
      <c r="D4" s="1689"/>
      <c r="E4" s="1689"/>
      <c r="F4" s="1689"/>
      <c r="G4" s="1689"/>
      <c r="H4" s="1689"/>
      <c r="I4" s="1689"/>
      <c r="J4" s="1689"/>
      <c r="K4" s="1689"/>
      <c r="L4" s="1689"/>
    </row>
    <row r="5" spans="2:23" ht="9.75" customHeight="1" thickBot="1">
      <c r="B5" s="108"/>
      <c r="C5" s="108"/>
      <c r="D5" s="108"/>
      <c r="E5" s="108"/>
      <c r="F5" s="108"/>
      <c r="G5" s="108"/>
      <c r="H5" s="108"/>
      <c r="I5" s="108"/>
      <c r="J5" s="108"/>
      <c r="K5" s="108"/>
      <c r="L5" s="108"/>
    </row>
    <row r="6" spans="2:23" ht="27.75" customHeight="1" thickTop="1" thickBot="1">
      <c r="B6" s="1044"/>
      <c r="C6" s="1044"/>
      <c r="D6" s="1044"/>
      <c r="E6" s="1044"/>
      <c r="F6" s="1044"/>
      <c r="G6" s="967" t="s">
        <v>125</v>
      </c>
      <c r="H6" s="1693" t="s">
        <v>126</v>
      </c>
      <c r="I6" s="1571"/>
      <c r="J6" s="1690" t="str">
        <f>'31-Capital Bond Schedule'!J6:L6</f>
        <v>2020  Debt       Service</v>
      </c>
      <c r="K6" s="1691"/>
      <c r="L6" s="1692"/>
    </row>
    <row r="7" spans="2:23" ht="21" customHeight="1" thickTop="1">
      <c r="B7" s="22" t="str">
        <f>'31-Capital Bond Schedule'!B7</f>
        <v>Outstanding - January 1, 2019</v>
      </c>
      <c r="C7" s="22"/>
      <c r="D7" s="22"/>
      <c r="E7" s="22"/>
      <c r="F7" s="22" t="s">
        <v>112</v>
      </c>
      <c r="G7" s="1088" t="s">
        <v>787</v>
      </c>
      <c r="H7" s="1694">
        <v>439720.27</v>
      </c>
      <c r="I7" s="1695"/>
      <c r="J7" s="74"/>
      <c r="K7" s="286"/>
      <c r="L7" s="810"/>
      <c r="O7" s="322"/>
      <c r="P7" s="322"/>
      <c r="Q7" s="322"/>
      <c r="R7" s="322"/>
      <c r="S7" s="322"/>
      <c r="T7" s="322"/>
      <c r="U7" s="322"/>
      <c r="V7" s="322"/>
      <c r="W7" s="322"/>
    </row>
    <row r="8" spans="2:23" ht="21" customHeight="1">
      <c r="B8" s="5" t="s">
        <v>113</v>
      </c>
      <c r="C8" s="5"/>
      <c r="D8" s="5"/>
      <c r="E8" s="5"/>
      <c r="F8" s="5" t="s">
        <v>114</v>
      </c>
      <c r="G8" s="973" t="s">
        <v>787</v>
      </c>
      <c r="H8" s="1651"/>
      <c r="I8" s="1652"/>
      <c r="J8" s="74"/>
      <c r="K8" s="286"/>
      <c r="L8" s="810"/>
      <c r="O8" s="322"/>
      <c r="P8" s="322"/>
      <c r="Q8" s="322"/>
      <c r="R8" s="322"/>
      <c r="S8" s="322"/>
      <c r="T8" s="322"/>
      <c r="U8" s="322"/>
      <c r="V8" s="322"/>
      <c r="W8" s="322"/>
    </row>
    <row r="9" spans="2:23" ht="21" customHeight="1">
      <c r="B9" s="5" t="s">
        <v>326</v>
      </c>
      <c r="C9" s="5"/>
      <c r="D9" s="5"/>
      <c r="E9" s="5"/>
      <c r="F9" s="5" t="s">
        <v>115</v>
      </c>
      <c r="G9" s="374">
        <v>38032.199999999997</v>
      </c>
      <c r="H9" s="1696" t="s">
        <v>787</v>
      </c>
      <c r="I9" s="1697"/>
      <c r="J9" s="74"/>
      <c r="K9" s="286"/>
      <c r="L9" s="810"/>
      <c r="O9" s="322"/>
      <c r="P9" s="322"/>
      <c r="Q9" s="322"/>
      <c r="R9" s="322"/>
      <c r="S9" s="322"/>
      <c r="T9" s="322"/>
      <c r="U9" s="322"/>
      <c r="V9" s="322"/>
      <c r="W9" s="322"/>
    </row>
    <row r="10" spans="2:23" ht="21" customHeight="1">
      <c r="B10" s="5" t="s">
        <v>186</v>
      </c>
      <c r="C10" s="5"/>
      <c r="D10" s="5"/>
      <c r="E10" s="5"/>
      <c r="F10" s="5"/>
      <c r="G10" s="374"/>
      <c r="H10" s="1651"/>
      <c r="I10" s="1652"/>
      <c r="J10" s="74"/>
      <c r="K10" s="286"/>
      <c r="L10" s="810"/>
      <c r="O10" s="322"/>
      <c r="P10" s="322"/>
      <c r="Q10" s="322"/>
      <c r="R10" s="322"/>
      <c r="S10" s="322"/>
      <c r="T10" s="322"/>
      <c r="U10" s="322"/>
      <c r="V10" s="322"/>
      <c r="W10" s="322"/>
    </row>
    <row r="11" spans="2:23" ht="21" customHeight="1">
      <c r="B11" s="1563"/>
      <c r="C11" s="1563"/>
      <c r="D11" s="1563"/>
      <c r="E11" s="1563"/>
      <c r="F11" s="1564"/>
      <c r="G11" s="601"/>
      <c r="H11" s="1679"/>
      <c r="I11" s="1680"/>
      <c r="J11" s="74"/>
      <c r="K11" s="286"/>
      <c r="L11" s="810"/>
      <c r="O11" s="322"/>
      <c r="P11" s="322"/>
      <c r="Q11" s="322"/>
      <c r="R11" s="322"/>
      <c r="S11" s="322"/>
      <c r="T11" s="322"/>
      <c r="U11" s="322"/>
      <c r="V11" s="322"/>
      <c r="W11" s="322"/>
    </row>
    <row r="12" spans="2:23" ht="21" customHeight="1" thickBot="1">
      <c r="B12" s="5" t="str">
        <f>'31-Capital Bond Schedule'!B12</f>
        <v>Outstanding - December 31, 2019</v>
      </c>
      <c r="C12" s="5"/>
      <c r="D12" s="5"/>
      <c r="E12" s="5"/>
      <c r="F12" s="5" t="s">
        <v>116</v>
      </c>
      <c r="G12" s="1089">
        <f>+H7+H8-G9-G10-G11+H10+H11</f>
        <v>401688.07</v>
      </c>
      <c r="H12" s="1677" t="s">
        <v>787</v>
      </c>
      <c r="I12" s="1678"/>
      <c r="J12" s="74"/>
      <c r="K12" s="286"/>
      <c r="L12" s="810"/>
      <c r="O12" s="322"/>
      <c r="P12" s="322"/>
      <c r="Q12" s="322"/>
      <c r="R12" s="322"/>
      <c r="S12" s="322"/>
      <c r="T12" s="322"/>
      <c r="U12" s="322"/>
      <c r="V12" s="322"/>
      <c r="W12" s="322"/>
    </row>
    <row r="13" spans="2:23" ht="21" customHeight="1" thickBot="1">
      <c r="G13" s="1083">
        <f>SUM(G7:G12)</f>
        <v>439720.27</v>
      </c>
      <c r="H13" s="1683">
        <f>SUM(H7:I12)</f>
        <v>439720.27</v>
      </c>
      <c r="I13" s="1684"/>
      <c r="J13" s="74"/>
      <c r="K13" s="286"/>
      <c r="L13" s="810"/>
      <c r="O13" s="322"/>
      <c r="P13" s="322"/>
      <c r="Q13" s="322"/>
      <c r="R13" s="322"/>
      <c r="S13" s="322"/>
      <c r="T13" s="322"/>
      <c r="U13" s="322"/>
      <c r="V13" s="322"/>
      <c r="W13" s="322"/>
    </row>
    <row r="14" spans="2:23" ht="21" customHeight="1" thickTop="1">
      <c r="B14" s="284" t="str">
        <f>TEXT('KEY INPUTS'!D33,"0")&amp;" Loan Maturities"</f>
        <v>2020 Loan Maturities</v>
      </c>
      <c r="C14" s="30"/>
      <c r="D14" s="30"/>
      <c r="E14" s="30"/>
      <c r="F14" s="30"/>
      <c r="G14" s="30"/>
      <c r="H14" s="30"/>
      <c r="I14" s="1049" t="s">
        <v>117</v>
      </c>
      <c r="J14" s="744" t="s">
        <v>482</v>
      </c>
      <c r="K14" s="1671">
        <v>38796.65</v>
      </c>
      <c r="L14" s="1672"/>
      <c r="O14" s="322"/>
      <c r="P14" s="377"/>
      <c r="Q14" s="322"/>
      <c r="R14" s="322"/>
      <c r="S14" s="322"/>
      <c r="T14" s="322"/>
      <c r="U14" s="322"/>
      <c r="V14" s="322"/>
      <c r="W14" s="322"/>
    </row>
    <row r="15" spans="2:23" ht="21" customHeight="1">
      <c r="B15" s="281" t="str">
        <f>TEXT('KEY INPUTS'!D33,"0")&amp;" Interest on Loans "</f>
        <v xml:space="preserve">2020 Interest on Loans </v>
      </c>
      <c r="C15" s="5"/>
      <c r="D15" s="5"/>
      <c r="E15" s="5"/>
      <c r="F15" s="5"/>
      <c r="G15" s="49"/>
      <c r="H15" s="5"/>
      <c r="I15" s="1090" t="s">
        <v>118</v>
      </c>
      <c r="J15" s="744" t="s">
        <v>482</v>
      </c>
      <c r="K15" s="1671">
        <v>7840.74</v>
      </c>
      <c r="L15" s="1672"/>
      <c r="O15" s="322"/>
      <c r="P15" s="322"/>
      <c r="Q15" s="322"/>
      <c r="R15" s="322"/>
      <c r="S15" s="322"/>
      <c r="T15" s="322"/>
      <c r="U15" s="322"/>
      <c r="V15" s="322"/>
      <c r="W15" s="322"/>
    </row>
    <row r="16" spans="2:23" ht="16.5" customHeight="1" thickBot="1">
      <c r="B16" s="1458" t="str">
        <f>"Total "&amp;TEXT('KEY INPUTS'!D33,"0")&amp;" Debt Service for"</f>
        <v>Total 2020 Debt Service for</v>
      </c>
      <c r="C16" s="1459"/>
      <c r="D16" s="1459"/>
      <c r="E16" s="1459"/>
      <c r="F16" s="1461"/>
      <c r="G16" s="1460" t="s">
        <v>3778</v>
      </c>
      <c r="H16" s="10"/>
      <c r="I16" s="1091" t="s">
        <v>702</v>
      </c>
      <c r="J16" s="40" t="s">
        <v>482</v>
      </c>
      <c r="K16" s="1681">
        <f>+K14+K15</f>
        <v>46637.39</v>
      </c>
      <c r="L16" s="1682"/>
      <c r="O16" s="322"/>
      <c r="P16" s="322"/>
      <c r="Q16" s="322"/>
      <c r="R16" s="322"/>
      <c r="S16" s="322"/>
      <c r="T16" s="322"/>
      <c r="U16" s="322"/>
      <c r="V16" s="322"/>
      <c r="W16" s="322"/>
    </row>
    <row r="17" spans="2:23" ht="26.25" customHeight="1" thickTop="1" thickBot="1">
      <c r="B17" s="1687" t="s">
        <v>187</v>
      </c>
      <c r="C17" s="1687"/>
      <c r="D17" s="1687"/>
      <c r="E17" s="1687"/>
      <c r="F17" s="1687"/>
      <c r="G17" s="1687"/>
      <c r="H17" s="1687"/>
      <c r="I17" s="1688"/>
      <c r="J17" s="74"/>
      <c r="K17" s="286"/>
      <c r="L17" s="810"/>
      <c r="O17" s="322"/>
      <c r="P17" s="322"/>
      <c r="Q17" s="322"/>
      <c r="R17" s="322"/>
      <c r="S17" s="322"/>
      <c r="T17" s="322"/>
      <c r="U17" s="322"/>
      <c r="V17" s="322"/>
      <c r="W17" s="322"/>
    </row>
    <row r="18" spans="2:23" ht="21" customHeight="1" thickTop="1">
      <c r="B18" s="22" t="str">
        <f>B7</f>
        <v>Outstanding - January 1, 2019</v>
      </c>
      <c r="C18" s="22"/>
      <c r="D18" s="22"/>
      <c r="E18" s="22"/>
      <c r="F18" s="22" t="s">
        <v>120</v>
      </c>
      <c r="G18" s="1088" t="s">
        <v>787</v>
      </c>
      <c r="H18" s="1651"/>
      <c r="I18" s="1652"/>
      <c r="J18" s="74"/>
      <c r="K18" s="286"/>
      <c r="L18" s="810"/>
      <c r="O18" s="322"/>
      <c r="P18" s="322"/>
      <c r="Q18" s="322"/>
      <c r="R18" s="322"/>
      <c r="S18" s="322"/>
      <c r="T18" s="322"/>
      <c r="U18" s="322"/>
      <c r="V18" s="322"/>
      <c r="W18" s="322"/>
    </row>
    <row r="19" spans="2:23" ht="21" customHeight="1">
      <c r="B19" s="5" t="s">
        <v>113</v>
      </c>
      <c r="C19" s="5"/>
      <c r="D19" s="5"/>
      <c r="E19" s="5"/>
      <c r="F19" s="5" t="s">
        <v>121</v>
      </c>
      <c r="G19" s="973" t="s">
        <v>787</v>
      </c>
      <c r="H19" s="1651"/>
      <c r="I19" s="1652"/>
      <c r="J19" s="74"/>
      <c r="K19" s="286"/>
      <c r="L19" s="810"/>
      <c r="O19" s="322"/>
      <c r="P19" s="322"/>
      <c r="Q19" s="322"/>
      <c r="R19" s="322"/>
      <c r="S19" s="322"/>
      <c r="T19" s="322"/>
      <c r="U19" s="322"/>
      <c r="V19" s="322"/>
      <c r="W19" s="322"/>
    </row>
    <row r="20" spans="2:23" ht="21" customHeight="1">
      <c r="B20" s="5" t="s">
        <v>326</v>
      </c>
      <c r="C20" s="5"/>
      <c r="D20" s="5"/>
      <c r="E20" s="5"/>
      <c r="F20" s="5" t="s">
        <v>122</v>
      </c>
      <c r="G20" s="374"/>
      <c r="H20" s="1685" t="s">
        <v>787</v>
      </c>
      <c r="I20" s="1686"/>
      <c r="J20" s="74"/>
      <c r="K20" s="286"/>
      <c r="L20" s="810"/>
      <c r="O20" s="322"/>
      <c r="P20" s="322"/>
      <c r="Q20" s="322"/>
      <c r="R20" s="322"/>
      <c r="S20" s="322"/>
      <c r="T20" s="322"/>
      <c r="U20" s="322"/>
      <c r="V20" s="322"/>
      <c r="W20" s="322"/>
    </row>
    <row r="21" spans="2:23" ht="21" customHeight="1">
      <c r="B21" s="1699"/>
      <c r="C21" s="1699"/>
      <c r="D21" s="1699"/>
      <c r="E21" s="1699"/>
      <c r="F21" s="1700"/>
      <c r="G21" s="601"/>
      <c r="H21" s="1679"/>
      <c r="I21" s="1680"/>
      <c r="J21" s="74"/>
      <c r="K21" s="286"/>
      <c r="L21" s="810"/>
      <c r="O21" s="322"/>
      <c r="P21" s="322"/>
      <c r="Q21" s="322"/>
      <c r="R21" s="322"/>
      <c r="S21" s="322"/>
      <c r="T21" s="322"/>
      <c r="U21" s="322"/>
      <c r="V21" s="322"/>
      <c r="W21" s="322"/>
    </row>
    <row r="22" spans="2:23" ht="21" customHeight="1">
      <c r="B22" s="1699"/>
      <c r="C22" s="1699"/>
      <c r="D22" s="1699"/>
      <c r="E22" s="1699"/>
      <c r="F22" s="1700"/>
      <c r="G22" s="601"/>
      <c r="H22" s="1679"/>
      <c r="I22" s="1680"/>
      <c r="J22" s="74"/>
      <c r="K22" s="286"/>
      <c r="L22" s="810"/>
      <c r="O22" s="322"/>
      <c r="P22" s="322"/>
      <c r="Q22" s="322"/>
      <c r="R22" s="322"/>
      <c r="S22" s="322"/>
      <c r="T22" s="322"/>
      <c r="U22" s="322"/>
      <c r="V22" s="322"/>
      <c r="W22" s="322"/>
    </row>
    <row r="23" spans="2:23" ht="21" customHeight="1" thickBot="1">
      <c r="B23" s="5" t="str">
        <f>B12</f>
        <v>Outstanding - December 31, 2019</v>
      </c>
      <c r="C23" s="5"/>
      <c r="D23" s="5"/>
      <c r="E23" s="5"/>
      <c r="F23" s="5" t="s">
        <v>698</v>
      </c>
      <c r="G23" s="1089">
        <f>+H18+H19-G20-G21-G22+H21+H22</f>
        <v>0</v>
      </c>
      <c r="H23" s="1677" t="s">
        <v>787</v>
      </c>
      <c r="I23" s="1678"/>
      <c r="J23" s="74"/>
      <c r="K23" s="286"/>
      <c r="L23" s="810"/>
      <c r="O23" s="322"/>
      <c r="P23" s="322"/>
      <c r="Q23" s="322"/>
      <c r="R23" s="322"/>
      <c r="S23" s="322"/>
      <c r="T23" s="322"/>
      <c r="U23" s="322"/>
      <c r="V23" s="322"/>
      <c r="W23" s="322"/>
    </row>
    <row r="24" spans="2:23" ht="21" customHeight="1" thickBot="1">
      <c r="G24" s="1083">
        <f>SUM(G18:G23)</f>
        <v>0</v>
      </c>
      <c r="H24" s="1683">
        <f>SUM(H18:I23)</f>
        <v>0</v>
      </c>
      <c r="I24" s="1684"/>
      <c r="J24" s="74"/>
      <c r="K24" s="286"/>
      <c r="L24" s="810"/>
      <c r="O24" s="322"/>
      <c r="P24" s="322"/>
      <c r="Q24" s="322"/>
      <c r="R24" s="322"/>
      <c r="S24" s="322"/>
      <c r="T24" s="322"/>
      <c r="U24" s="322"/>
      <c r="V24" s="322"/>
      <c r="W24" s="322"/>
    </row>
    <row r="25" spans="2:23" ht="21" customHeight="1" thickTop="1">
      <c r="B25" s="30" t="str">
        <f>B14</f>
        <v>2020 Loan Maturities</v>
      </c>
      <c r="C25" s="30"/>
      <c r="D25" s="30"/>
      <c r="E25" s="30"/>
      <c r="F25" s="30"/>
      <c r="G25" s="30"/>
      <c r="H25" s="30"/>
      <c r="I25" s="121" t="s">
        <v>699</v>
      </c>
      <c r="J25" s="744" t="s">
        <v>482</v>
      </c>
      <c r="K25" s="1671"/>
      <c r="L25" s="1672"/>
      <c r="O25" s="322"/>
      <c r="P25" s="322"/>
      <c r="Q25" s="322"/>
      <c r="R25" s="322"/>
      <c r="S25" s="322"/>
      <c r="T25" s="322"/>
      <c r="U25" s="322"/>
      <c r="V25" s="322"/>
      <c r="W25" s="322"/>
    </row>
    <row r="26" spans="2:23" ht="21" customHeight="1">
      <c r="B26" s="5" t="str">
        <f>B15</f>
        <v xml:space="preserve">2020 Interest on Loans </v>
      </c>
      <c r="C26" s="5"/>
      <c r="D26" s="5"/>
      <c r="E26" s="5"/>
      <c r="F26" s="5"/>
      <c r="G26" s="49"/>
      <c r="H26" s="5"/>
      <c r="I26" s="101" t="s">
        <v>188</v>
      </c>
      <c r="J26" s="744" t="s">
        <v>482</v>
      </c>
      <c r="K26" s="1671"/>
      <c r="L26" s="1672"/>
    </row>
    <row r="27" spans="2:23" ht="21" customHeight="1" thickBot="1">
      <c r="B27" s="1462" t="str">
        <f>"Total "&amp;TEXT('KEY INPUTS'!D33,"0")&amp;" Debt Service for"</f>
        <v>Total 2020 Debt Service for</v>
      </c>
      <c r="C27" s="1463"/>
      <c r="D27" s="1463"/>
      <c r="E27" s="1463"/>
      <c r="F27" s="1087"/>
      <c r="G27" s="1464" t="s">
        <v>3779</v>
      </c>
      <c r="H27" s="10"/>
      <c r="I27" s="243" t="s">
        <v>702</v>
      </c>
      <c r="J27" s="17" t="s">
        <v>482</v>
      </c>
      <c r="K27" s="1701">
        <f>+K25+K26</f>
        <v>0</v>
      </c>
      <c r="L27" s="1702"/>
    </row>
    <row r="28" spans="2:23" ht="21" customHeight="1" thickTop="1"/>
    <row r="29" spans="2:23" ht="21" customHeight="1" thickBot="1">
      <c r="B29" s="1653" t="str">
        <f>"LIST  OF  LOANS  ISSUED  DURING "&amp;TEXT('KEY INPUTS'!D34,"0")</f>
        <v>LIST  OF  LOANS  ISSUED  DURING 2019</v>
      </c>
      <c r="C29" s="1653"/>
      <c r="D29" s="1653"/>
      <c r="E29" s="1653"/>
      <c r="F29" s="1653"/>
      <c r="G29" s="1653"/>
      <c r="H29" s="1653"/>
      <c r="I29" s="1653"/>
      <c r="J29" s="1653"/>
      <c r="K29" s="1653"/>
      <c r="L29" s="1653"/>
    </row>
    <row r="30" spans="2:23" ht="27" customHeight="1" thickTop="1" thickBot="1">
      <c r="B30" s="1553" t="s">
        <v>532</v>
      </c>
      <c r="C30" s="1553"/>
      <c r="D30" s="1553"/>
      <c r="E30" s="1553"/>
      <c r="F30" s="1553"/>
      <c r="G30" s="4" t="str">
        <f>'31-Capital Bond Schedule'!G30</f>
        <v>2020 Maturity</v>
      </c>
      <c r="H30" s="1633" t="s">
        <v>109</v>
      </c>
      <c r="I30" s="1554"/>
      <c r="J30" s="1659" t="s">
        <v>107</v>
      </c>
      <c r="K30" s="1660"/>
      <c r="L30" s="811" t="s">
        <v>108</v>
      </c>
    </row>
    <row r="31" spans="2:23" ht="21" customHeight="1" thickTop="1">
      <c r="B31" s="569"/>
      <c r="C31" s="569"/>
      <c r="D31" s="569"/>
      <c r="E31" s="569"/>
      <c r="F31" s="569"/>
      <c r="G31" s="605"/>
      <c r="H31" s="1705"/>
      <c r="I31" s="1706"/>
      <c r="J31" s="1698"/>
      <c r="K31" s="1648"/>
      <c r="L31" s="953"/>
    </row>
    <row r="32" spans="2:23" ht="21" customHeight="1">
      <c r="B32" s="566"/>
      <c r="C32" s="566"/>
      <c r="D32" s="566"/>
      <c r="E32" s="566"/>
      <c r="F32" s="566"/>
      <c r="G32" s="601"/>
      <c r="H32" s="1679"/>
      <c r="I32" s="1680"/>
      <c r="J32" s="1650"/>
      <c r="K32" s="1645"/>
      <c r="L32" s="954"/>
    </row>
    <row r="33" spans="2:12" ht="21" customHeight="1">
      <c r="B33" s="566"/>
      <c r="C33" s="566"/>
      <c r="D33" s="566"/>
      <c r="E33" s="566"/>
      <c r="F33" s="566"/>
      <c r="G33" s="601"/>
      <c r="H33" s="1679"/>
      <c r="I33" s="1680"/>
      <c r="J33" s="1650"/>
      <c r="K33" s="1645"/>
      <c r="L33" s="954"/>
    </row>
    <row r="34" spans="2:12" ht="21" customHeight="1">
      <c r="B34" s="566"/>
      <c r="C34" s="566"/>
      <c r="D34" s="566"/>
      <c r="E34" s="566"/>
      <c r="F34" s="566"/>
      <c r="G34" s="601"/>
      <c r="H34" s="1679"/>
      <c r="I34" s="1680"/>
      <c r="J34" s="1650"/>
      <c r="K34" s="1645"/>
      <c r="L34" s="954"/>
    </row>
    <row r="35" spans="2:12" ht="21" customHeight="1">
      <c r="B35" s="566"/>
      <c r="C35" s="566"/>
      <c r="D35" s="566"/>
      <c r="E35" s="566"/>
      <c r="F35" s="566"/>
      <c r="G35" s="601"/>
      <c r="H35" s="1679"/>
      <c r="I35" s="1680"/>
      <c r="J35" s="1650"/>
      <c r="K35" s="1645"/>
      <c r="L35" s="954"/>
    </row>
    <row r="36" spans="2:12" ht="21" customHeight="1">
      <c r="B36" s="566"/>
      <c r="C36" s="566"/>
      <c r="D36" s="566"/>
      <c r="E36" s="566"/>
      <c r="F36" s="566"/>
      <c r="G36" s="601"/>
      <c r="H36" s="1679"/>
      <c r="I36" s="1680"/>
      <c r="J36" s="1650"/>
      <c r="K36" s="1645"/>
      <c r="L36" s="954"/>
    </row>
    <row r="37" spans="2:12" ht="21" customHeight="1">
      <c r="B37" s="566"/>
      <c r="C37" s="566"/>
      <c r="D37" s="566"/>
      <c r="E37" s="566"/>
      <c r="F37" s="566"/>
      <c r="G37" s="601"/>
      <c r="H37" s="1679"/>
      <c r="I37" s="1680"/>
      <c r="J37" s="1650"/>
      <c r="K37" s="1645"/>
      <c r="L37" s="954"/>
    </row>
    <row r="38" spans="2:12" ht="21" customHeight="1">
      <c r="B38" s="566"/>
      <c r="C38" s="566"/>
      <c r="D38" s="566"/>
      <c r="E38" s="566"/>
      <c r="F38" s="566"/>
      <c r="G38" s="601"/>
      <c r="H38" s="1679"/>
      <c r="I38" s="1680"/>
      <c r="J38" s="1650"/>
      <c r="K38" s="1645"/>
      <c r="L38" s="954"/>
    </row>
    <row r="39" spans="2:12" ht="21" customHeight="1" thickBot="1">
      <c r="B39" s="27"/>
      <c r="C39" s="27"/>
      <c r="D39" s="27"/>
      <c r="E39" s="27"/>
      <c r="F39" s="860" t="s">
        <v>260</v>
      </c>
      <c r="G39" s="1083">
        <f>SUM(G31:G38)</f>
        <v>0</v>
      </c>
      <c r="H39" s="1703">
        <f>SUM(H31:I38)</f>
        <v>0</v>
      </c>
      <c r="I39" s="1704"/>
      <c r="J39" s="1092"/>
      <c r="K39" s="859"/>
      <c r="L39" s="866"/>
    </row>
    <row r="40" spans="2:12" ht="13.8" thickTop="1">
      <c r="G40" s="57" t="s">
        <v>110</v>
      </c>
      <c r="H40" s="57"/>
      <c r="I40" s="57" t="s">
        <v>111</v>
      </c>
    </row>
    <row r="47" spans="2:12" ht="13.8">
      <c r="B47" s="1507" t="s">
        <v>189</v>
      </c>
      <c r="C47" s="1507"/>
      <c r="D47" s="1507"/>
      <c r="E47" s="1507"/>
      <c r="F47" s="1507"/>
      <c r="G47" s="1507"/>
      <c r="H47" s="1507"/>
      <c r="I47" s="1507"/>
      <c r="J47" s="1507"/>
      <c r="K47" s="1507"/>
      <c r="L47" s="1507"/>
    </row>
  </sheetData>
  <sheetProtection algorithmName="SHA-512" hashValue="Ago5rx2+Etv4OlTPYAG0tdOunREugIZF1YQL3uQPsEPZWPqUxHzAP2sKUpCQ+SGO5YrCxpsYV15LxM5IgmUrSQ==" saltValue="xtAwVZINp5SqBAW+txTChg=="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O14" sqref="O14"/>
      <pageMargins left="0.25" right="0.25" top="0.5" bottom="0.5" header="0.25" footer="0.25"/>
      <pageSetup paperSize="5" orientation="portrait" r:id="rId2"/>
      <headerFooter alignWithMargins="0"/>
    </customSheetView>
    <customSheetView guid="{A64E4C9E-A3DA-4AAA-8607-F524450B9436}">
      <selection activeCell="O14" sqref="O14"/>
      <pageMargins left="0.25" right="0.25" top="0.5" bottom="0.5" header="0.25" footer="0.25"/>
      <pageSetup paperSize="5" orientation="portrait" r:id="rId3"/>
      <headerFooter alignWithMargins="0"/>
    </customSheetView>
    <customSheetView guid="{AB4FBD91-4533-473A-9702-569FF6402073}">
      <selection activeCell="T22" sqref="T22"/>
      <pageMargins left="0.25" right="0.25" top="0.5" bottom="0.5" header="0.25" footer="0.25"/>
      <pageSetup paperSize="5" orientation="portrait" r:id="rId4"/>
      <headerFooter alignWithMargins="0"/>
    </customSheetView>
  </customSheetViews>
  <mergeCells count="51">
    <mergeCell ref="B21:F21"/>
    <mergeCell ref="B22:F22"/>
    <mergeCell ref="K27:L27"/>
    <mergeCell ref="B47:L47"/>
    <mergeCell ref="J38:K38"/>
    <mergeCell ref="J35:K35"/>
    <mergeCell ref="B29:L29"/>
    <mergeCell ref="H39:I39"/>
    <mergeCell ref="H33:I33"/>
    <mergeCell ref="H34:I34"/>
    <mergeCell ref="J37:K37"/>
    <mergeCell ref="H31:I31"/>
    <mergeCell ref="H32:I32"/>
    <mergeCell ref="J32:K32"/>
    <mergeCell ref="J33:K33"/>
    <mergeCell ref="J34:K34"/>
    <mergeCell ref="J31:K31"/>
    <mergeCell ref="J30:K30"/>
    <mergeCell ref="H35:I35"/>
    <mergeCell ref="H38:I38"/>
    <mergeCell ref="H36:I36"/>
    <mergeCell ref="H37:I37"/>
    <mergeCell ref="H30:I30"/>
    <mergeCell ref="B17:I17"/>
    <mergeCell ref="B2:L2"/>
    <mergeCell ref="B3:L3"/>
    <mergeCell ref="B4:L4"/>
    <mergeCell ref="J6:L6"/>
    <mergeCell ref="H6:I6"/>
    <mergeCell ref="H7:I7"/>
    <mergeCell ref="H8:I8"/>
    <mergeCell ref="H10:I10"/>
    <mergeCell ref="H11:I11"/>
    <mergeCell ref="H9:I9"/>
    <mergeCell ref="B11:F11"/>
    <mergeCell ref="K25:L25"/>
    <mergeCell ref="H12:I12"/>
    <mergeCell ref="H18:I18"/>
    <mergeCell ref="J36:K36"/>
    <mergeCell ref="B30:F30"/>
    <mergeCell ref="H22:I22"/>
    <mergeCell ref="K26:L26"/>
    <mergeCell ref="K15:L15"/>
    <mergeCell ref="K16:L16"/>
    <mergeCell ref="H13:I13"/>
    <mergeCell ref="H23:I23"/>
    <mergeCell ref="H19:I19"/>
    <mergeCell ref="K14:L14"/>
    <mergeCell ref="H24:I24"/>
    <mergeCell ref="H21:I21"/>
    <mergeCell ref="H20:I20"/>
  </mergeCells>
  <phoneticPr fontId="0" type="noConversion"/>
  <pageMargins left="0.25" right="0.25" top="0.5" bottom="0.5" header="0.25" footer="0.25"/>
  <pageSetup paperSize="5" orientation="portrait" r:id="rId5"/>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1">
    <pageSetUpPr fitToPage="1"/>
  </sheetPr>
  <dimension ref="B2:P47"/>
  <sheetViews>
    <sheetView workbookViewId="0">
      <selection activeCell="K16" sqref="K16:L16"/>
    </sheetView>
  </sheetViews>
  <sheetFormatPr defaultColWidth="9.109375" defaultRowHeight="13.2"/>
  <cols>
    <col min="1" max="4" width="4.6640625" style="322" customWidth="1"/>
    <col min="5" max="5" width="17.88671875" style="322" customWidth="1"/>
    <col min="6" max="6" width="9.109375" style="322"/>
    <col min="7" max="7" width="16.6640625" style="322" customWidth="1"/>
    <col min="8" max="8" width="1.6640625" style="322" customWidth="1"/>
    <col min="9" max="9" width="15.6640625" style="322" customWidth="1"/>
    <col min="10" max="10" width="1.6640625" style="322" customWidth="1"/>
    <col min="11" max="11" width="8.6640625" style="322" customWidth="1"/>
    <col min="12" max="12" width="7.6640625" style="322" customWidth="1"/>
    <col min="13" max="16384" width="9.109375" style="322"/>
  </cols>
  <sheetData>
    <row r="2" spans="2:16" ht="20.399999999999999">
      <c r="B2" s="1508" t="s">
        <v>606</v>
      </c>
      <c r="C2" s="1508"/>
      <c r="D2" s="1508"/>
      <c r="E2" s="1508"/>
      <c r="F2" s="1508"/>
      <c r="G2" s="1508"/>
      <c r="H2" s="1508"/>
      <c r="I2" s="1508"/>
      <c r="J2" s="1508"/>
      <c r="K2" s="1508"/>
      <c r="L2" s="1508"/>
    </row>
    <row r="3" spans="2:16" ht="20.399999999999999">
      <c r="B3" s="1508" t="str">
        <f>" AND "&amp;TEXT('KEY INPUTS'!D33,"0")&amp;" DEBT  SERVICE  FOR  LOANS"</f>
        <v xml:space="preserve"> AND 2020 DEBT  SERVICE  FOR  LOANS</v>
      </c>
      <c r="C3" s="1508"/>
      <c r="D3" s="1508"/>
      <c r="E3" s="1508"/>
      <c r="F3" s="1508"/>
      <c r="G3" s="1508"/>
      <c r="H3" s="1508"/>
      <c r="I3" s="1508"/>
      <c r="J3" s="1508"/>
      <c r="K3" s="1508"/>
      <c r="L3" s="1508"/>
    </row>
    <row r="4" spans="2:16" ht="15.6">
      <c r="B4" s="1689" t="s">
        <v>3902</v>
      </c>
      <c r="C4" s="1689"/>
      <c r="D4" s="1689"/>
      <c r="E4" s="1689"/>
      <c r="F4" s="1689"/>
      <c r="G4" s="1689"/>
      <c r="H4" s="1689"/>
      <c r="I4" s="1689"/>
      <c r="J4" s="1689"/>
      <c r="K4" s="1689"/>
      <c r="L4" s="1689"/>
    </row>
    <row r="5" spans="2:16" ht="9.75" customHeight="1" thickBot="1">
      <c r="B5" s="754"/>
      <c r="C5" s="754"/>
      <c r="D5" s="754"/>
      <c r="E5" s="754"/>
      <c r="F5" s="754"/>
      <c r="G5" s="754"/>
      <c r="H5" s="754"/>
      <c r="I5" s="754"/>
      <c r="J5" s="754"/>
      <c r="K5" s="754"/>
      <c r="L5" s="754"/>
    </row>
    <row r="6" spans="2:16" ht="27.75" customHeight="1" thickTop="1" thickBot="1">
      <c r="B6" s="61"/>
      <c r="C6" s="61"/>
      <c r="D6" s="61"/>
      <c r="E6" s="61"/>
      <c r="F6" s="61"/>
      <c r="G6" s="4" t="s">
        <v>125</v>
      </c>
      <c r="H6" s="1633" t="s">
        <v>126</v>
      </c>
      <c r="I6" s="1554"/>
      <c r="J6" s="1659" t="str">
        <f>'31-Capital Bond Schedule'!J6:L6</f>
        <v>2020  Debt       Service</v>
      </c>
      <c r="K6" s="1675"/>
      <c r="L6" s="1676"/>
    </row>
    <row r="7" spans="2:16" ht="21" customHeight="1" thickTop="1" thickBot="1">
      <c r="B7" s="283" t="str">
        <f>'31-Capital Bond Schedule'!B7</f>
        <v>Outstanding - January 1, 2019</v>
      </c>
      <c r="C7" s="283"/>
      <c r="D7" s="283"/>
      <c r="E7" s="283"/>
      <c r="F7" s="283" t="s">
        <v>112</v>
      </c>
      <c r="G7" s="1088" t="s">
        <v>787</v>
      </c>
      <c r="H7" s="1657">
        <v>625669.16</v>
      </c>
      <c r="I7" s="1658"/>
      <c r="J7" s="74"/>
      <c r="K7" s="286"/>
      <c r="L7" s="810"/>
    </row>
    <row r="8" spans="2:16" ht="21" customHeight="1" thickTop="1">
      <c r="B8" s="323" t="s">
        <v>113</v>
      </c>
      <c r="C8" s="323"/>
      <c r="D8" s="323"/>
      <c r="E8" s="323"/>
      <c r="F8" s="323" t="s">
        <v>114</v>
      </c>
      <c r="G8" s="973" t="s">
        <v>787</v>
      </c>
      <c r="H8" s="1657"/>
      <c r="I8" s="1658"/>
      <c r="J8" s="74"/>
      <c r="K8" s="286"/>
      <c r="L8" s="810"/>
    </row>
    <row r="9" spans="2:16" ht="21" customHeight="1" thickBot="1">
      <c r="B9" s="323" t="s">
        <v>326</v>
      </c>
      <c r="C9" s="323"/>
      <c r="D9" s="323"/>
      <c r="E9" s="323"/>
      <c r="F9" s="323" t="s">
        <v>115</v>
      </c>
      <c r="G9" s="374">
        <v>95742.11</v>
      </c>
      <c r="H9" s="1685" t="s">
        <v>787</v>
      </c>
      <c r="I9" s="1686"/>
      <c r="J9" s="74"/>
      <c r="K9" s="286"/>
      <c r="L9" s="810"/>
    </row>
    <row r="10" spans="2:16" ht="21" customHeight="1" thickTop="1">
      <c r="B10" s="323" t="s">
        <v>186</v>
      </c>
      <c r="C10" s="323"/>
      <c r="D10" s="323"/>
      <c r="E10" s="323"/>
      <c r="F10" s="323"/>
      <c r="G10" s="374"/>
      <c r="H10" s="1657"/>
      <c r="I10" s="1658"/>
      <c r="J10" s="74"/>
      <c r="K10" s="286"/>
      <c r="L10" s="810"/>
    </row>
    <row r="11" spans="2:16" ht="21" customHeight="1">
      <c r="B11" s="566"/>
      <c r="C11" s="566"/>
      <c r="D11" s="566"/>
      <c r="E11" s="566"/>
      <c r="F11" s="566"/>
      <c r="G11" s="601"/>
      <c r="H11" s="1679"/>
      <c r="I11" s="1680"/>
      <c r="J11" s="74"/>
      <c r="K11" s="286"/>
      <c r="L11" s="810"/>
    </row>
    <row r="12" spans="2:16" ht="21" customHeight="1" thickBot="1">
      <c r="B12" s="323" t="str">
        <f>'31-Capital Bond Schedule'!B12</f>
        <v>Outstanding - December 31, 2019</v>
      </c>
      <c r="C12" s="323"/>
      <c r="D12" s="323"/>
      <c r="E12" s="323"/>
      <c r="F12" s="323" t="s">
        <v>116</v>
      </c>
      <c r="G12" s="1089">
        <f>+H7+H8-G9-G10-G11+H10+H11</f>
        <v>529927.05000000005</v>
      </c>
      <c r="H12" s="1677" t="s">
        <v>787</v>
      </c>
      <c r="I12" s="1678"/>
      <c r="J12" s="74"/>
      <c r="K12" s="286"/>
      <c r="L12" s="810"/>
    </row>
    <row r="13" spans="2:16" ht="21" customHeight="1" thickBot="1">
      <c r="G13" s="1083">
        <f>SUM(G7:G12)</f>
        <v>625669.16</v>
      </c>
      <c r="H13" s="1683">
        <f>SUM(H7:I12)</f>
        <v>625669.16</v>
      </c>
      <c r="I13" s="1684"/>
      <c r="J13" s="74"/>
      <c r="K13" s="286"/>
      <c r="L13" s="810"/>
    </row>
    <row r="14" spans="2:16" ht="21" customHeight="1" thickTop="1">
      <c r="B14" s="284" t="str">
        <f>TEXT('KEY INPUTS'!D33,"0")&amp;" Loan Maturities"</f>
        <v>2020 Loan Maturities</v>
      </c>
      <c r="C14" s="284"/>
      <c r="D14" s="284"/>
      <c r="E14" s="284"/>
      <c r="F14" s="284"/>
      <c r="G14" s="284"/>
      <c r="H14" s="284"/>
      <c r="I14" s="121" t="s">
        <v>117</v>
      </c>
      <c r="J14" s="744" t="s">
        <v>482</v>
      </c>
      <c r="K14" s="1671">
        <v>96253.57</v>
      </c>
      <c r="L14" s="1672"/>
      <c r="P14" s="377"/>
    </row>
    <row r="15" spans="2:16" ht="21" customHeight="1">
      <c r="B15" s="323" t="str">
        <f>TEXT('KEY INPUTS'!D33,"0")&amp;" Interest on Loans "</f>
        <v xml:space="preserve">2020 Interest on Loans </v>
      </c>
      <c r="C15" s="323"/>
      <c r="D15" s="323"/>
      <c r="E15" s="323"/>
      <c r="F15" s="323"/>
      <c r="G15" s="49"/>
      <c r="H15" s="323"/>
      <c r="I15" s="101" t="s">
        <v>118</v>
      </c>
      <c r="J15" s="744" t="s">
        <v>482</v>
      </c>
      <c r="K15" s="1671">
        <v>7556.25</v>
      </c>
      <c r="L15" s="1672"/>
    </row>
    <row r="16" spans="2:16" ht="16.5" customHeight="1" thickBot="1">
      <c r="B16" s="1085" t="str">
        <f>"Total "&amp;TEXT('KEY INPUTS'!D33,"0")&amp;" Debt Service for"&amp;"___________________"&amp;"  Loan"</f>
        <v>Total 2020 Debt Service for___________________  Loan</v>
      </c>
      <c r="C16" s="606"/>
      <c r="D16" s="606"/>
      <c r="E16" s="606"/>
      <c r="F16" s="606"/>
      <c r="G16" s="10"/>
      <c r="H16" s="10"/>
      <c r="I16" s="243" t="s">
        <v>702</v>
      </c>
      <c r="J16" s="40" t="s">
        <v>482</v>
      </c>
      <c r="K16" s="1681">
        <f>+K14+K15</f>
        <v>103809.82</v>
      </c>
      <c r="L16" s="1682"/>
    </row>
    <row r="17" spans="2:12" ht="26.25" customHeight="1" thickTop="1" thickBot="1">
      <c r="B17" s="1687" t="s">
        <v>3943</v>
      </c>
      <c r="C17" s="1687"/>
      <c r="D17" s="1687"/>
      <c r="E17" s="1687"/>
      <c r="F17" s="1687"/>
      <c r="G17" s="1687"/>
      <c r="H17" s="1687"/>
      <c r="I17" s="1688"/>
      <c r="L17" s="193"/>
    </row>
    <row r="18" spans="2:12" ht="21" customHeight="1" thickTop="1">
      <c r="B18" s="283" t="str">
        <f>B7</f>
        <v>Outstanding - January 1, 2019</v>
      </c>
      <c r="C18" s="283"/>
      <c r="D18" s="283"/>
      <c r="E18" s="283"/>
      <c r="F18" s="283" t="s">
        <v>120</v>
      </c>
      <c r="G18" s="1088" t="s">
        <v>787</v>
      </c>
      <c r="H18" s="1651">
        <v>545352.06000000006</v>
      </c>
      <c r="I18" s="1652"/>
      <c r="L18" s="810"/>
    </row>
    <row r="19" spans="2:12" ht="21" customHeight="1">
      <c r="B19" s="323" t="s">
        <v>113</v>
      </c>
      <c r="C19" s="323"/>
      <c r="D19" s="323"/>
      <c r="E19" s="323"/>
      <c r="F19" s="323" t="s">
        <v>121</v>
      </c>
      <c r="G19" s="973" t="s">
        <v>787</v>
      </c>
      <c r="H19" s="1651"/>
      <c r="I19" s="1652"/>
      <c r="L19" s="810"/>
    </row>
    <row r="20" spans="2:12" ht="21" customHeight="1">
      <c r="B20" s="323" t="s">
        <v>326</v>
      </c>
      <c r="C20" s="323"/>
      <c r="D20" s="323"/>
      <c r="E20" s="323"/>
      <c r="F20" s="323" t="s">
        <v>122</v>
      </c>
      <c r="G20" s="374">
        <v>65750.16</v>
      </c>
      <c r="H20" s="1685" t="s">
        <v>787</v>
      </c>
      <c r="I20" s="1686"/>
      <c r="L20" s="810"/>
    </row>
    <row r="21" spans="2:12" ht="21" customHeight="1">
      <c r="B21" s="566"/>
      <c r="C21" s="566"/>
      <c r="D21" s="566"/>
      <c r="E21" s="566"/>
      <c r="F21" s="566"/>
      <c r="G21" s="601"/>
      <c r="H21" s="1707"/>
      <c r="I21" s="1708"/>
      <c r="L21" s="810"/>
    </row>
    <row r="22" spans="2:12" ht="21" customHeight="1">
      <c r="B22" s="566"/>
      <c r="C22" s="566"/>
      <c r="D22" s="566"/>
      <c r="E22" s="566"/>
      <c r="F22" s="566"/>
      <c r="G22" s="601"/>
      <c r="H22" s="1707"/>
      <c r="I22" s="1708"/>
      <c r="L22" s="810"/>
    </row>
    <row r="23" spans="2:12" ht="21" customHeight="1" thickBot="1">
      <c r="B23" s="323" t="str">
        <f>B12</f>
        <v>Outstanding - December 31, 2019</v>
      </c>
      <c r="C23" s="323"/>
      <c r="D23" s="323"/>
      <c r="E23" s="323"/>
      <c r="F23" s="323" t="s">
        <v>698</v>
      </c>
      <c r="G23" s="1089">
        <f>+H18+H19-G20-G21-G22+H21+H22</f>
        <v>479601.9</v>
      </c>
      <c r="H23" s="1677" t="s">
        <v>787</v>
      </c>
      <c r="I23" s="1678"/>
      <c r="L23" s="810"/>
    </row>
    <row r="24" spans="2:12" ht="21" customHeight="1" thickBot="1">
      <c r="G24" s="1083">
        <f>SUM(G18:G23)</f>
        <v>545352.06000000006</v>
      </c>
      <c r="H24" s="1683">
        <f>SUM(H18:I23)</f>
        <v>545352.06000000006</v>
      </c>
      <c r="I24" s="1684"/>
      <c r="K24" s="286"/>
      <c r="L24" s="810"/>
    </row>
    <row r="25" spans="2:12" ht="21" customHeight="1" thickTop="1">
      <c r="B25" s="284" t="str">
        <f>B14</f>
        <v>2020 Loan Maturities</v>
      </c>
      <c r="C25" s="284"/>
      <c r="D25" s="284"/>
      <c r="E25" s="284"/>
      <c r="F25" s="284"/>
      <c r="G25" s="284"/>
      <c r="H25" s="284"/>
      <c r="I25" s="121" t="s">
        <v>699</v>
      </c>
      <c r="J25" s="284" t="s">
        <v>482</v>
      </c>
      <c r="K25" s="1671">
        <v>65750.16</v>
      </c>
      <c r="L25" s="1672"/>
    </row>
    <row r="26" spans="2:12" ht="21" customHeight="1">
      <c r="B26" s="323" t="str">
        <f>B15</f>
        <v xml:space="preserve">2020 Interest on Loans </v>
      </c>
      <c r="C26" s="323"/>
      <c r="D26" s="323"/>
      <c r="E26" s="323"/>
      <c r="F26" s="323"/>
      <c r="G26" s="49"/>
      <c r="H26" s="323"/>
      <c r="I26" s="101" t="s">
        <v>188</v>
      </c>
      <c r="J26" s="284" t="s">
        <v>482</v>
      </c>
      <c r="K26" s="1671">
        <v>6300</v>
      </c>
      <c r="L26" s="1672"/>
    </row>
    <row r="27" spans="2:12" ht="21" customHeight="1" thickBot="1">
      <c r="B27" s="1087" t="str">
        <f>"Total "&amp;TEXT('KEY INPUTS'!D33,"0")&amp;" Debt Service for __________________________ Loan"</f>
        <v>Total 2020 Debt Service for __________________________ Loan</v>
      </c>
      <c r="C27" s="1086"/>
      <c r="D27" s="1086"/>
      <c r="E27" s="1086"/>
      <c r="F27" s="1086"/>
      <c r="G27" s="1086"/>
      <c r="H27" s="10"/>
      <c r="I27" s="243" t="s">
        <v>702</v>
      </c>
      <c r="J27" s="10" t="s">
        <v>482</v>
      </c>
      <c r="K27" s="1701">
        <f>+K25+K26</f>
        <v>72050.16</v>
      </c>
      <c r="L27" s="1702"/>
    </row>
    <row r="28" spans="2:12" ht="21" customHeight="1" thickTop="1"/>
    <row r="29" spans="2:12" ht="21" customHeight="1" thickBot="1">
      <c r="B29" s="1653" t="str">
        <f>"LIST  OF  LOANS  ISSUED  DURING "&amp;TEXT('KEY INPUTS'!D34,"0")</f>
        <v>LIST  OF  LOANS  ISSUED  DURING 2019</v>
      </c>
      <c r="C29" s="1653"/>
      <c r="D29" s="1653"/>
      <c r="E29" s="1653"/>
      <c r="F29" s="1653"/>
      <c r="G29" s="1653"/>
      <c r="H29" s="1653"/>
      <c r="I29" s="1653"/>
      <c r="J29" s="1653"/>
      <c r="K29" s="1653"/>
      <c r="L29" s="1653"/>
    </row>
    <row r="30" spans="2:12" ht="27" customHeight="1" thickTop="1" thickBot="1">
      <c r="B30" s="1553" t="s">
        <v>532</v>
      </c>
      <c r="C30" s="1553"/>
      <c r="D30" s="1553"/>
      <c r="E30" s="1553"/>
      <c r="F30" s="1553"/>
      <c r="G30" s="4" t="str">
        <f>'31-Capital Bond Schedule'!G30</f>
        <v>2020 Maturity</v>
      </c>
      <c r="H30" s="1633" t="s">
        <v>109</v>
      </c>
      <c r="I30" s="1554"/>
      <c r="J30" s="1659" t="s">
        <v>107</v>
      </c>
      <c r="K30" s="1660"/>
      <c r="L30" s="811" t="s">
        <v>108</v>
      </c>
    </row>
    <row r="31" spans="2:12" ht="21" customHeight="1" thickTop="1">
      <c r="B31" s="569"/>
      <c r="C31" s="569"/>
      <c r="D31" s="569"/>
      <c r="E31" s="569"/>
      <c r="F31" s="569"/>
      <c r="G31" s="605"/>
      <c r="H31" s="1705"/>
      <c r="I31" s="1706"/>
      <c r="J31" s="1698"/>
      <c r="K31" s="1648"/>
      <c r="L31" s="812"/>
    </row>
    <row r="32" spans="2:12" ht="21" customHeight="1">
      <c r="B32" s="566"/>
      <c r="C32" s="566"/>
      <c r="D32" s="566"/>
      <c r="E32" s="566"/>
      <c r="F32" s="566"/>
      <c r="G32" s="601"/>
      <c r="H32" s="1679"/>
      <c r="I32" s="1680"/>
      <c r="J32" s="1650"/>
      <c r="K32" s="1645"/>
      <c r="L32" s="624"/>
    </row>
    <row r="33" spans="2:12" ht="21" customHeight="1">
      <c r="B33" s="566"/>
      <c r="C33" s="566"/>
      <c r="D33" s="566"/>
      <c r="E33" s="566"/>
      <c r="F33" s="566"/>
      <c r="G33" s="601"/>
      <c r="H33" s="1679"/>
      <c r="I33" s="1680"/>
      <c r="J33" s="1650"/>
      <c r="K33" s="1645"/>
      <c r="L33" s="624"/>
    </row>
    <row r="34" spans="2:12" ht="21" customHeight="1">
      <c r="B34" s="566"/>
      <c r="C34" s="566"/>
      <c r="D34" s="566"/>
      <c r="E34" s="566"/>
      <c r="F34" s="566"/>
      <c r="G34" s="601"/>
      <c r="H34" s="1679"/>
      <c r="I34" s="1680"/>
      <c r="J34" s="1650"/>
      <c r="K34" s="1645"/>
      <c r="L34" s="624"/>
    </row>
    <row r="35" spans="2:12" ht="21" customHeight="1">
      <c r="B35" s="566"/>
      <c r="C35" s="566"/>
      <c r="D35" s="566"/>
      <c r="E35" s="566"/>
      <c r="F35" s="566"/>
      <c r="G35" s="601"/>
      <c r="H35" s="1679"/>
      <c r="I35" s="1680"/>
      <c r="J35" s="1650"/>
      <c r="K35" s="1645"/>
      <c r="L35" s="624"/>
    </row>
    <row r="36" spans="2:12" ht="21" customHeight="1">
      <c r="B36" s="566"/>
      <c r="C36" s="566"/>
      <c r="D36" s="566"/>
      <c r="E36" s="566"/>
      <c r="F36" s="566"/>
      <c r="G36" s="601"/>
      <c r="H36" s="1679"/>
      <c r="I36" s="1680"/>
      <c r="J36" s="1650"/>
      <c r="K36" s="1645"/>
      <c r="L36" s="624"/>
    </row>
    <row r="37" spans="2:12" ht="21" customHeight="1">
      <c r="B37" s="566"/>
      <c r="C37" s="566"/>
      <c r="D37" s="566"/>
      <c r="E37" s="566"/>
      <c r="F37" s="566"/>
      <c r="G37" s="601"/>
      <c r="H37" s="1679"/>
      <c r="I37" s="1680"/>
      <c r="J37" s="1650"/>
      <c r="K37" s="1645"/>
      <c r="L37" s="624"/>
    </row>
    <row r="38" spans="2:12" ht="21" customHeight="1">
      <c r="B38" s="566"/>
      <c r="C38" s="566"/>
      <c r="D38" s="566"/>
      <c r="E38" s="566"/>
      <c r="F38" s="566"/>
      <c r="G38" s="601"/>
      <c r="H38" s="1679"/>
      <c r="I38" s="1680"/>
      <c r="J38" s="1650"/>
      <c r="K38" s="1645"/>
      <c r="L38" s="624"/>
    </row>
    <row r="39" spans="2:12" ht="21" customHeight="1" thickBot="1">
      <c r="B39" s="27"/>
      <c r="C39" s="27"/>
      <c r="D39" s="27"/>
      <c r="E39" s="27"/>
      <c r="F39" s="860" t="s">
        <v>260</v>
      </c>
      <c r="G39" s="1083">
        <f>SUM(G31:G38)</f>
        <v>0</v>
      </c>
      <c r="H39" s="1703">
        <f>SUM(H31:I38)</f>
        <v>0</v>
      </c>
      <c r="I39" s="1704"/>
      <c r="J39" s="40"/>
      <c r="K39" s="859"/>
      <c r="L39" s="866"/>
    </row>
    <row r="40" spans="2:12" ht="13.8" thickTop="1">
      <c r="G40" s="759" t="s">
        <v>110</v>
      </c>
      <c r="H40" s="759"/>
      <c r="I40" s="759" t="s">
        <v>111</v>
      </c>
    </row>
    <row r="47" spans="2:12" ht="13.8">
      <c r="B47" s="1507" t="s">
        <v>3622</v>
      </c>
      <c r="C47" s="1507"/>
      <c r="D47" s="1507"/>
      <c r="E47" s="1507"/>
      <c r="F47" s="1507"/>
      <c r="G47" s="1507"/>
      <c r="H47" s="1507"/>
      <c r="I47" s="1507"/>
      <c r="J47" s="1507"/>
      <c r="K47" s="1507"/>
      <c r="L47" s="1507"/>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topLeftCell="A19">
      <selection activeCell="G10" sqref="G10"/>
      <pageMargins left="0.25" right="0.25" top="0.5" bottom="0.5" header="0.25" footer="0.25"/>
      <pageSetup paperSize="5" orientation="portrait" r:id="rId2"/>
      <headerFooter alignWithMargins="0"/>
    </customSheetView>
    <customSheetView guid="{A64E4C9E-A3DA-4AAA-8607-F524450B9436}" topLeftCell="A19">
      <selection activeCell="G10" sqref="G10"/>
      <pageMargins left="0.25" right="0.25" top="0.5" bottom="0.5" header="0.25" footer="0.25"/>
      <pageSetup paperSize="5" orientation="portrait" r:id="rId3"/>
      <headerFooter alignWithMargins="0"/>
    </customSheetView>
    <customSheetView guid="{AB4FBD91-4533-473A-9702-569FF6402073}">
      <selection activeCell="G23" sqref="G23"/>
      <pageMargins left="0.25" right="0.25" top="0.5" bottom="0.5" header="0.25" footer="0.25"/>
      <pageSetup paperSize="5" orientation="portrait" r:id="rId4"/>
      <headerFooter alignWithMargins="0"/>
    </customSheetView>
  </customSheetViews>
  <mergeCells count="48">
    <mergeCell ref="H13:I13"/>
    <mergeCell ref="B2:L2"/>
    <mergeCell ref="B3:L3"/>
    <mergeCell ref="B4:L4"/>
    <mergeCell ref="H6:I6"/>
    <mergeCell ref="J6:L6"/>
    <mergeCell ref="H7:I7"/>
    <mergeCell ref="H8:I8"/>
    <mergeCell ref="H9:I9"/>
    <mergeCell ref="H10:I10"/>
    <mergeCell ref="H11:I11"/>
    <mergeCell ref="H12:I12"/>
    <mergeCell ref="K25:L25"/>
    <mergeCell ref="K14:L14"/>
    <mergeCell ref="K15:L15"/>
    <mergeCell ref="K16:L16"/>
    <mergeCell ref="B17:I17"/>
    <mergeCell ref="H18:I18"/>
    <mergeCell ref="H19:I19"/>
    <mergeCell ref="H20:I20"/>
    <mergeCell ref="H21:I21"/>
    <mergeCell ref="H22:I22"/>
    <mergeCell ref="H23:I23"/>
    <mergeCell ref="H24:I24"/>
    <mergeCell ref="K26:L26"/>
    <mergeCell ref="K27:L27"/>
    <mergeCell ref="B29:L29"/>
    <mergeCell ref="B30:F30"/>
    <mergeCell ref="H30:I30"/>
    <mergeCell ref="J30:K30"/>
    <mergeCell ref="H31:I31"/>
    <mergeCell ref="J31:K31"/>
    <mergeCell ref="H32:I32"/>
    <mergeCell ref="J32:K32"/>
    <mergeCell ref="H33:I33"/>
    <mergeCell ref="J33:K33"/>
    <mergeCell ref="B47:L47"/>
    <mergeCell ref="H34:I34"/>
    <mergeCell ref="J34:K34"/>
    <mergeCell ref="H35:I35"/>
    <mergeCell ref="J35:K35"/>
    <mergeCell ref="H36:I36"/>
    <mergeCell ref="J36:K36"/>
    <mergeCell ref="H37:I37"/>
    <mergeCell ref="J37:K37"/>
    <mergeCell ref="H38:I38"/>
    <mergeCell ref="J38:K38"/>
    <mergeCell ref="H39:I39"/>
  </mergeCells>
  <pageMargins left="0.25" right="0.25" top="0.5" bottom="0.5" header="0.25" footer="0.25"/>
  <pageSetup paperSize="5" orientation="portrait" r:id="rId5"/>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2">
    <pageSetUpPr fitToPage="1"/>
  </sheetPr>
  <dimension ref="B2:P47"/>
  <sheetViews>
    <sheetView topLeftCell="A10" workbookViewId="0">
      <selection activeCell="B3" sqref="B3:O3"/>
    </sheetView>
  </sheetViews>
  <sheetFormatPr defaultColWidth="9.109375" defaultRowHeight="13.2"/>
  <cols>
    <col min="1" max="4" width="4.6640625" style="322" customWidth="1"/>
    <col min="5" max="5" width="17.88671875" style="322" customWidth="1"/>
    <col min="6" max="6" width="9.109375" style="322"/>
    <col min="7" max="7" width="16.6640625" style="322" customWidth="1"/>
    <col min="8" max="8" width="1.6640625" style="322" customWidth="1"/>
    <col min="9" max="9" width="15.6640625" style="322" customWidth="1"/>
    <col min="10" max="10" width="1.6640625" style="322" customWidth="1"/>
    <col min="11" max="11" width="8.6640625" style="322" customWidth="1"/>
    <col min="12" max="12" width="7.6640625" style="322" customWidth="1"/>
    <col min="13" max="16384" width="9.109375" style="322"/>
  </cols>
  <sheetData>
    <row r="2" spans="2:16" ht="20.399999999999999">
      <c r="B2" s="1508" t="s">
        <v>606</v>
      </c>
      <c r="C2" s="1508"/>
      <c r="D2" s="1508"/>
      <c r="E2" s="1508"/>
      <c r="F2" s="1508"/>
      <c r="G2" s="1508"/>
      <c r="H2" s="1508"/>
      <c r="I2" s="1508"/>
      <c r="J2" s="1508"/>
      <c r="K2" s="1508"/>
      <c r="L2" s="1508"/>
    </row>
    <row r="3" spans="2:16" ht="20.399999999999999">
      <c r="B3" s="1508" t="str">
        <f>" AND "&amp;TEXT('KEY INPUTS'!D33,"0")&amp;" DEBT  SERVICE  FOR  LOANS"</f>
        <v xml:space="preserve"> AND 2020 DEBT  SERVICE  FOR  LOANS</v>
      </c>
      <c r="C3" s="1508"/>
      <c r="D3" s="1508"/>
      <c r="E3" s="1508"/>
      <c r="F3" s="1508"/>
      <c r="G3" s="1508"/>
      <c r="H3" s="1508"/>
      <c r="I3" s="1508"/>
      <c r="J3" s="1508"/>
      <c r="K3" s="1508"/>
      <c r="L3" s="1508"/>
    </row>
    <row r="4" spans="2:16" ht="15.6">
      <c r="B4" s="1689" t="s">
        <v>3465</v>
      </c>
      <c r="C4" s="1689"/>
      <c r="D4" s="1689"/>
      <c r="E4" s="1689"/>
      <c r="F4" s="1689"/>
      <c r="G4" s="1689"/>
      <c r="H4" s="1689"/>
      <c r="I4" s="1689"/>
      <c r="J4" s="1689"/>
      <c r="K4" s="1689"/>
      <c r="L4" s="1689"/>
    </row>
    <row r="5" spans="2:16" ht="9.75" customHeight="1" thickBot="1">
      <c r="B5" s="754"/>
      <c r="C5" s="754"/>
      <c r="D5" s="754"/>
      <c r="E5" s="754"/>
      <c r="F5" s="754"/>
      <c r="G5" s="754"/>
      <c r="H5" s="754"/>
      <c r="I5" s="754"/>
      <c r="J5" s="754"/>
      <c r="K5" s="754"/>
      <c r="L5" s="754"/>
    </row>
    <row r="6" spans="2:16" ht="27.75" customHeight="1" thickTop="1" thickBot="1">
      <c r="B6" s="1044"/>
      <c r="C6" s="1044"/>
      <c r="D6" s="1044"/>
      <c r="E6" s="1044"/>
      <c r="F6" s="1044"/>
      <c r="G6" s="967" t="s">
        <v>125</v>
      </c>
      <c r="H6" s="1693" t="s">
        <v>126</v>
      </c>
      <c r="I6" s="1571"/>
      <c r="J6" s="1690" t="str">
        <f>'31-Capital Bond Schedule'!J6:L6</f>
        <v>2020  Debt       Service</v>
      </c>
      <c r="K6" s="1691"/>
      <c r="L6" s="1692"/>
    </row>
    <row r="7" spans="2:16" ht="21" customHeight="1" thickTop="1">
      <c r="B7" s="283" t="str">
        <f>'31-Capital Bond Schedule'!B7</f>
        <v>Outstanding - January 1, 2019</v>
      </c>
      <c r="C7" s="283"/>
      <c r="D7" s="283"/>
      <c r="E7" s="283"/>
      <c r="F7" s="283" t="s">
        <v>112</v>
      </c>
      <c r="G7" s="1088" t="s">
        <v>787</v>
      </c>
      <c r="H7" s="1694"/>
      <c r="I7" s="1695"/>
      <c r="J7" s="74"/>
      <c r="K7" s="286"/>
      <c r="L7" s="810"/>
    </row>
    <row r="8" spans="2:16" ht="21" customHeight="1">
      <c r="B8" s="323" t="s">
        <v>113</v>
      </c>
      <c r="C8" s="323"/>
      <c r="D8" s="323"/>
      <c r="E8" s="323"/>
      <c r="F8" s="323" t="s">
        <v>114</v>
      </c>
      <c r="G8" s="973" t="s">
        <v>787</v>
      </c>
      <c r="H8" s="1651"/>
      <c r="I8" s="1652"/>
      <c r="J8" s="74"/>
      <c r="K8" s="286"/>
      <c r="L8" s="810"/>
    </row>
    <row r="9" spans="2:16" ht="21" customHeight="1">
      <c r="B9" s="323" t="s">
        <v>326</v>
      </c>
      <c r="C9" s="323"/>
      <c r="D9" s="323"/>
      <c r="E9" s="323"/>
      <c r="F9" s="323" t="s">
        <v>115</v>
      </c>
      <c r="G9" s="374"/>
      <c r="H9" s="1696" t="s">
        <v>787</v>
      </c>
      <c r="I9" s="1697"/>
      <c r="J9" s="74"/>
      <c r="K9" s="286"/>
      <c r="L9" s="810"/>
    </row>
    <row r="10" spans="2:16" ht="21" customHeight="1">
      <c r="B10" s="323" t="s">
        <v>186</v>
      </c>
      <c r="C10" s="323"/>
      <c r="D10" s="323"/>
      <c r="E10" s="323"/>
      <c r="F10" s="323"/>
      <c r="G10" s="374"/>
      <c r="H10" s="1651"/>
      <c r="I10" s="1652"/>
      <c r="J10" s="74"/>
      <c r="K10" s="286"/>
      <c r="L10" s="810"/>
    </row>
    <row r="11" spans="2:16" ht="21" customHeight="1">
      <c r="B11" s="566"/>
      <c r="C11" s="566"/>
      <c r="D11" s="566"/>
      <c r="E11" s="566"/>
      <c r="F11" s="566"/>
      <c r="G11" s="601"/>
      <c r="H11" s="1679"/>
      <c r="I11" s="1680"/>
      <c r="J11" s="74"/>
      <c r="K11" s="286"/>
      <c r="L11" s="810"/>
    </row>
    <row r="12" spans="2:16" ht="21" customHeight="1" thickBot="1">
      <c r="B12" s="323" t="str">
        <f>'31-Capital Bond Schedule'!B12</f>
        <v>Outstanding - December 31, 2019</v>
      </c>
      <c r="C12" s="323"/>
      <c r="D12" s="323"/>
      <c r="E12" s="323"/>
      <c r="F12" s="323" t="s">
        <v>116</v>
      </c>
      <c r="G12" s="1089">
        <f>+H7+H8-G9-G10-G11+H10+H11</f>
        <v>0</v>
      </c>
      <c r="H12" s="1677" t="s">
        <v>787</v>
      </c>
      <c r="I12" s="1678"/>
      <c r="J12" s="74"/>
      <c r="K12" s="286"/>
      <c r="L12" s="810"/>
    </row>
    <row r="13" spans="2:16" ht="21" customHeight="1" thickBot="1">
      <c r="G13" s="1083">
        <f>SUM(G7:G12)</f>
        <v>0</v>
      </c>
      <c r="H13" s="1683">
        <f>SUM(H7:I12)</f>
        <v>0</v>
      </c>
      <c r="I13" s="1684"/>
      <c r="J13" s="74"/>
      <c r="K13" s="286"/>
      <c r="L13" s="810"/>
    </row>
    <row r="14" spans="2:16" ht="21" customHeight="1" thickTop="1">
      <c r="B14" s="284" t="str">
        <f>TEXT('KEY INPUTS'!D33,"0")&amp;" Loan Maturities"</f>
        <v>2020 Loan Maturities</v>
      </c>
      <c r="C14" s="284"/>
      <c r="D14" s="284"/>
      <c r="E14" s="284"/>
      <c r="F14" s="284"/>
      <c r="G14" s="284"/>
      <c r="H14" s="284"/>
      <c r="I14" s="1049" t="s">
        <v>117</v>
      </c>
      <c r="J14" s="284" t="s">
        <v>482</v>
      </c>
      <c r="K14" s="1671"/>
      <c r="L14" s="1672"/>
      <c r="P14" s="377"/>
    </row>
    <row r="15" spans="2:16" ht="21" customHeight="1">
      <c r="B15" s="323" t="str">
        <f>TEXT('KEY INPUTS'!D33,"0")&amp;" Interest on Loans "</f>
        <v xml:space="preserve">2020 Interest on Loans </v>
      </c>
      <c r="C15" s="323"/>
      <c r="D15" s="323"/>
      <c r="E15" s="323"/>
      <c r="F15" s="323"/>
      <c r="G15" s="49"/>
      <c r="H15" s="323"/>
      <c r="I15" s="1090" t="s">
        <v>118</v>
      </c>
      <c r="J15" s="284" t="s">
        <v>482</v>
      </c>
      <c r="K15" s="1671"/>
      <c r="L15" s="1672"/>
    </row>
    <row r="16" spans="2:16" ht="16.5" customHeight="1" thickBot="1">
      <c r="B16" s="1085" t="str">
        <f>"Total "&amp;TEXT('KEY INPUTS'!D33,"0")&amp;" Debt Service for"&amp;"___________________"&amp;"  Loan"</f>
        <v>Total 2020 Debt Service for___________________  Loan</v>
      </c>
      <c r="C16" s="606"/>
      <c r="D16" s="606"/>
      <c r="E16" s="606"/>
      <c r="F16" s="606"/>
      <c r="G16" s="10"/>
      <c r="H16" s="10"/>
      <c r="I16" s="1091" t="s">
        <v>702</v>
      </c>
      <c r="J16" s="40" t="s">
        <v>482</v>
      </c>
      <c r="K16" s="1681">
        <f>+K14+K15</f>
        <v>0</v>
      </c>
      <c r="L16" s="1682"/>
    </row>
    <row r="17" spans="2:12" ht="26.25" customHeight="1" thickTop="1" thickBot="1">
      <c r="B17" s="1687" t="s">
        <v>187</v>
      </c>
      <c r="C17" s="1687"/>
      <c r="D17" s="1687"/>
      <c r="E17" s="1687"/>
      <c r="F17" s="1687"/>
      <c r="G17" s="1687"/>
      <c r="H17" s="1687"/>
      <c r="I17" s="1688"/>
      <c r="L17" s="193"/>
    </row>
    <row r="18" spans="2:12" ht="21" customHeight="1" thickTop="1">
      <c r="B18" s="283" t="str">
        <f>B7</f>
        <v>Outstanding - January 1, 2019</v>
      </c>
      <c r="C18" s="283"/>
      <c r="D18" s="283"/>
      <c r="E18" s="283"/>
      <c r="F18" s="283" t="s">
        <v>120</v>
      </c>
      <c r="G18" s="1088" t="s">
        <v>787</v>
      </c>
      <c r="H18" s="1651"/>
      <c r="I18" s="1652"/>
      <c r="L18" s="810"/>
    </row>
    <row r="19" spans="2:12" ht="21" customHeight="1">
      <c r="B19" s="323" t="s">
        <v>113</v>
      </c>
      <c r="C19" s="323"/>
      <c r="D19" s="323"/>
      <c r="E19" s="323"/>
      <c r="F19" s="323" t="s">
        <v>121</v>
      </c>
      <c r="G19" s="973" t="s">
        <v>787</v>
      </c>
      <c r="H19" s="1651"/>
      <c r="I19" s="1652"/>
      <c r="L19" s="810"/>
    </row>
    <row r="20" spans="2:12" ht="21" customHeight="1">
      <c r="B20" s="323" t="s">
        <v>326</v>
      </c>
      <c r="C20" s="323"/>
      <c r="D20" s="323"/>
      <c r="E20" s="323"/>
      <c r="F20" s="323" t="s">
        <v>122</v>
      </c>
      <c r="G20" s="374"/>
      <c r="H20" s="1685" t="s">
        <v>787</v>
      </c>
      <c r="I20" s="1686"/>
      <c r="L20" s="810"/>
    </row>
    <row r="21" spans="2:12" ht="21" customHeight="1">
      <c r="B21" s="566"/>
      <c r="C21" s="566"/>
      <c r="D21" s="566"/>
      <c r="E21" s="566"/>
      <c r="F21" s="566"/>
      <c r="G21" s="601"/>
      <c r="H21" s="1679"/>
      <c r="I21" s="1680"/>
      <c r="L21" s="810"/>
    </row>
    <row r="22" spans="2:12" ht="21" customHeight="1">
      <c r="B22" s="566"/>
      <c r="C22" s="566"/>
      <c r="D22" s="566"/>
      <c r="E22" s="566"/>
      <c r="F22" s="566"/>
      <c r="G22" s="601"/>
      <c r="H22" s="1679"/>
      <c r="I22" s="1680"/>
      <c r="L22" s="810"/>
    </row>
    <row r="23" spans="2:12" ht="21" customHeight="1" thickBot="1">
      <c r="B23" s="323" t="str">
        <f>B12</f>
        <v>Outstanding - December 31, 2019</v>
      </c>
      <c r="C23" s="323"/>
      <c r="D23" s="323"/>
      <c r="E23" s="323"/>
      <c r="F23" s="323" t="s">
        <v>698</v>
      </c>
      <c r="G23" s="1089">
        <f>+H18+H19-G20-G21-G22+H21+H22</f>
        <v>0</v>
      </c>
      <c r="H23" s="1677" t="s">
        <v>787</v>
      </c>
      <c r="I23" s="1678"/>
      <c r="L23" s="810"/>
    </row>
    <row r="24" spans="2:12" ht="21" customHeight="1" thickBot="1">
      <c r="G24" s="1083">
        <f>SUM(G18:G23)</f>
        <v>0</v>
      </c>
      <c r="H24" s="1683">
        <f>SUM(H18:I23)</f>
        <v>0</v>
      </c>
      <c r="I24" s="1684"/>
      <c r="K24" s="286"/>
      <c r="L24" s="810"/>
    </row>
    <row r="25" spans="2:12" ht="21" customHeight="1" thickTop="1">
      <c r="B25" s="284" t="str">
        <f>B14</f>
        <v>2020 Loan Maturities</v>
      </c>
      <c r="C25" s="284"/>
      <c r="D25" s="284"/>
      <c r="E25" s="284"/>
      <c r="F25" s="284"/>
      <c r="G25" s="284"/>
      <c r="H25" s="284"/>
      <c r="I25" s="1049" t="s">
        <v>699</v>
      </c>
      <c r="J25" s="284" t="s">
        <v>482</v>
      </c>
      <c r="K25" s="1671"/>
      <c r="L25" s="1672"/>
    </row>
    <row r="26" spans="2:12" ht="21" customHeight="1">
      <c r="B26" s="323" t="str">
        <f>B15</f>
        <v xml:space="preserve">2020 Interest on Loans </v>
      </c>
      <c r="C26" s="323"/>
      <c r="D26" s="323"/>
      <c r="E26" s="323"/>
      <c r="F26" s="323"/>
      <c r="G26" s="49"/>
      <c r="H26" s="323"/>
      <c r="I26" s="1090" t="s">
        <v>188</v>
      </c>
      <c r="J26" s="284" t="s">
        <v>482</v>
      </c>
      <c r="K26" s="1671"/>
      <c r="L26" s="1672"/>
    </row>
    <row r="27" spans="2:12" ht="21" customHeight="1" thickBot="1">
      <c r="B27" s="1087" t="str">
        <f>"Total "&amp;TEXT('KEY INPUTS'!D33,"0")&amp;" Debt Service for __________________________ Loan"</f>
        <v>Total 2020 Debt Service for __________________________ Loan</v>
      </c>
      <c r="C27" s="1086"/>
      <c r="D27" s="1086"/>
      <c r="E27" s="1086"/>
      <c r="F27" s="1086"/>
      <c r="G27" s="1086"/>
      <c r="H27" s="10"/>
      <c r="I27" s="1091" t="s">
        <v>702</v>
      </c>
      <c r="J27" s="10" t="s">
        <v>482</v>
      </c>
      <c r="K27" s="1701">
        <f>+K25+K26</f>
        <v>0</v>
      </c>
      <c r="L27" s="1702"/>
    </row>
    <row r="28" spans="2:12" ht="21" customHeight="1" thickTop="1"/>
    <row r="29" spans="2:12" ht="21" customHeight="1" thickBot="1">
      <c r="B29" s="1653" t="str">
        <f>"LIST  OF  LOANS  ISSUED  DURING "&amp;TEXT('KEY INPUTS'!D34,"0")</f>
        <v>LIST  OF  LOANS  ISSUED  DURING 2019</v>
      </c>
      <c r="C29" s="1653"/>
      <c r="D29" s="1653"/>
      <c r="E29" s="1653"/>
      <c r="F29" s="1653"/>
      <c r="G29" s="1653"/>
      <c r="H29" s="1653"/>
      <c r="I29" s="1653"/>
      <c r="J29" s="1653"/>
      <c r="K29" s="1653"/>
      <c r="L29" s="1653"/>
    </row>
    <row r="30" spans="2:12" ht="27" customHeight="1" thickTop="1" thickBot="1">
      <c r="B30" s="1553" t="s">
        <v>532</v>
      </c>
      <c r="C30" s="1553"/>
      <c r="D30" s="1553"/>
      <c r="E30" s="1553"/>
      <c r="F30" s="1553"/>
      <c r="G30" s="4" t="str">
        <f>'31-Capital Bond Schedule'!G30</f>
        <v>2020 Maturity</v>
      </c>
      <c r="H30" s="1633" t="s">
        <v>109</v>
      </c>
      <c r="I30" s="1554"/>
      <c r="J30" s="1659" t="s">
        <v>107</v>
      </c>
      <c r="K30" s="1660"/>
      <c r="L30" s="811" t="s">
        <v>108</v>
      </c>
    </row>
    <row r="31" spans="2:12" ht="21" customHeight="1" thickTop="1">
      <c r="B31" s="569"/>
      <c r="C31" s="569"/>
      <c r="D31" s="569"/>
      <c r="E31" s="569"/>
      <c r="F31" s="569"/>
      <c r="G31" s="605"/>
      <c r="H31" s="1705"/>
      <c r="I31" s="1706"/>
      <c r="J31" s="1698"/>
      <c r="K31" s="1648"/>
      <c r="L31" s="812"/>
    </row>
    <row r="32" spans="2:12" ht="21" customHeight="1">
      <c r="B32" s="566"/>
      <c r="C32" s="566"/>
      <c r="D32" s="566"/>
      <c r="E32" s="566"/>
      <c r="F32" s="566"/>
      <c r="G32" s="601"/>
      <c r="H32" s="1679"/>
      <c r="I32" s="1680"/>
      <c r="J32" s="1650"/>
      <c r="K32" s="1645"/>
      <c r="L32" s="624"/>
    </row>
    <row r="33" spans="2:12" ht="21" customHeight="1">
      <c r="B33" s="566"/>
      <c r="C33" s="566"/>
      <c r="D33" s="566"/>
      <c r="E33" s="566"/>
      <c r="F33" s="566"/>
      <c r="G33" s="601"/>
      <c r="H33" s="1679"/>
      <c r="I33" s="1680"/>
      <c r="J33" s="1650"/>
      <c r="K33" s="1645"/>
      <c r="L33" s="624"/>
    </row>
    <row r="34" spans="2:12" ht="21" customHeight="1">
      <c r="B34" s="566"/>
      <c r="C34" s="566"/>
      <c r="D34" s="566"/>
      <c r="E34" s="566"/>
      <c r="F34" s="566"/>
      <c r="G34" s="601"/>
      <c r="H34" s="1679"/>
      <c r="I34" s="1680"/>
      <c r="J34" s="1650"/>
      <c r="K34" s="1645"/>
      <c r="L34" s="624"/>
    </row>
    <row r="35" spans="2:12" ht="21" customHeight="1">
      <c r="B35" s="566"/>
      <c r="C35" s="566"/>
      <c r="D35" s="566"/>
      <c r="E35" s="566"/>
      <c r="F35" s="566"/>
      <c r="G35" s="601"/>
      <c r="H35" s="1679"/>
      <c r="I35" s="1680"/>
      <c r="J35" s="1650"/>
      <c r="K35" s="1645"/>
      <c r="L35" s="624"/>
    </row>
    <row r="36" spans="2:12" ht="21" customHeight="1">
      <c r="B36" s="566"/>
      <c r="C36" s="566"/>
      <c r="D36" s="566"/>
      <c r="E36" s="566"/>
      <c r="F36" s="566"/>
      <c r="G36" s="601"/>
      <c r="H36" s="1679"/>
      <c r="I36" s="1680"/>
      <c r="J36" s="1650"/>
      <c r="K36" s="1645"/>
      <c r="L36" s="624"/>
    </row>
    <row r="37" spans="2:12" ht="21" customHeight="1">
      <c r="B37" s="566"/>
      <c r="C37" s="566"/>
      <c r="D37" s="566"/>
      <c r="E37" s="566"/>
      <c r="F37" s="566"/>
      <c r="G37" s="601"/>
      <c r="H37" s="1679"/>
      <c r="I37" s="1680"/>
      <c r="J37" s="1650"/>
      <c r="K37" s="1645"/>
      <c r="L37" s="624"/>
    </row>
    <row r="38" spans="2:12" ht="21" customHeight="1">
      <c r="B38" s="566"/>
      <c r="C38" s="566"/>
      <c r="D38" s="566"/>
      <c r="E38" s="566"/>
      <c r="F38" s="566"/>
      <c r="G38" s="601"/>
      <c r="H38" s="1679"/>
      <c r="I38" s="1680"/>
      <c r="J38" s="1650"/>
      <c r="K38" s="1645"/>
      <c r="L38" s="624"/>
    </row>
    <row r="39" spans="2:12" ht="21" customHeight="1" thickBot="1">
      <c r="B39" s="27"/>
      <c r="C39" s="27"/>
      <c r="D39" s="27"/>
      <c r="E39" s="27"/>
      <c r="F39" s="860" t="s">
        <v>260</v>
      </c>
      <c r="G39" s="1083">
        <f>SUM(G31:G38)</f>
        <v>0</v>
      </c>
      <c r="H39" s="1703">
        <f>SUM(H31:I38)</f>
        <v>0</v>
      </c>
      <c r="I39" s="1704"/>
      <c r="J39" s="40"/>
      <c r="K39" s="859"/>
      <c r="L39" s="866"/>
    </row>
    <row r="40" spans="2:12" ht="13.8" thickTop="1">
      <c r="G40" s="759" t="s">
        <v>110</v>
      </c>
      <c r="H40" s="759"/>
      <c r="I40" s="759" t="s">
        <v>111</v>
      </c>
    </row>
    <row r="47" spans="2:12" ht="13.8">
      <c r="B47" s="1507" t="s">
        <v>3621</v>
      </c>
      <c r="C47" s="1507"/>
      <c r="D47" s="1507"/>
      <c r="E47" s="1507"/>
      <c r="F47" s="1507"/>
      <c r="G47" s="1507"/>
      <c r="H47" s="1507"/>
      <c r="I47" s="1507"/>
      <c r="J47" s="1507"/>
      <c r="K47" s="1507"/>
      <c r="L47" s="1507"/>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topLeftCell="A19">
      <selection activeCell="B1" sqref="B1"/>
      <pageMargins left="0.25" right="0.25" top="0.5" bottom="0.5" header="0.25" footer="0.25"/>
      <pageSetup paperSize="5" orientation="portrait" r:id="rId2"/>
      <headerFooter alignWithMargins="0"/>
    </customSheetView>
    <customSheetView guid="{A64E4C9E-A3DA-4AAA-8607-F524450B9436}" topLeftCell="A19">
      <selection activeCell="B1" sqref="B1"/>
      <pageMargins left="0.25" right="0.25" top="0.5" bottom="0.5" header="0.25" footer="0.25"/>
      <pageSetup paperSize="5" orientation="portrait" r:id="rId3"/>
      <headerFooter alignWithMargins="0"/>
    </customSheetView>
    <customSheetView guid="{AB4FBD91-4533-473A-9702-569FF6402073}" topLeftCell="A10">
      <selection activeCell="B1" sqref="B1"/>
      <pageMargins left="0.25" right="0.25" top="0.5" bottom="0.5" header="0.25" footer="0.25"/>
      <pageSetup paperSize="5" orientation="portrait" r:id="rId4"/>
      <headerFooter alignWithMargins="0"/>
    </customSheetView>
  </customSheetViews>
  <mergeCells count="48">
    <mergeCell ref="H13:I13"/>
    <mergeCell ref="B2:L2"/>
    <mergeCell ref="B3:L3"/>
    <mergeCell ref="B4:L4"/>
    <mergeCell ref="H6:I6"/>
    <mergeCell ref="J6:L6"/>
    <mergeCell ref="H7:I7"/>
    <mergeCell ref="H8:I8"/>
    <mergeCell ref="H9:I9"/>
    <mergeCell ref="H10:I10"/>
    <mergeCell ref="H11:I11"/>
    <mergeCell ref="H12:I12"/>
    <mergeCell ref="K25:L25"/>
    <mergeCell ref="K14:L14"/>
    <mergeCell ref="K15:L15"/>
    <mergeCell ref="K16:L16"/>
    <mergeCell ref="B17:I17"/>
    <mergeCell ref="H18:I18"/>
    <mergeCell ref="H19:I19"/>
    <mergeCell ref="H20:I20"/>
    <mergeCell ref="H21:I21"/>
    <mergeCell ref="H22:I22"/>
    <mergeCell ref="H23:I23"/>
    <mergeCell ref="H24:I24"/>
    <mergeCell ref="K26:L26"/>
    <mergeCell ref="K27:L27"/>
    <mergeCell ref="B29:L29"/>
    <mergeCell ref="B30:F30"/>
    <mergeCell ref="H30:I30"/>
    <mergeCell ref="J30:K30"/>
    <mergeCell ref="H31:I31"/>
    <mergeCell ref="J31:K31"/>
    <mergeCell ref="H32:I32"/>
    <mergeCell ref="J32:K32"/>
    <mergeCell ref="H33:I33"/>
    <mergeCell ref="J33:K33"/>
    <mergeCell ref="B47:L47"/>
    <mergeCell ref="H34:I34"/>
    <mergeCell ref="J34:K34"/>
    <mergeCell ref="H35:I35"/>
    <mergeCell ref="J35:K35"/>
    <mergeCell ref="H36:I36"/>
    <mergeCell ref="J36:K36"/>
    <mergeCell ref="H37:I37"/>
    <mergeCell ref="J37:K37"/>
    <mergeCell ref="H38:I38"/>
    <mergeCell ref="J38:K38"/>
    <mergeCell ref="H39:I39"/>
  </mergeCells>
  <pageMargins left="0.25" right="0.25" top="0.5" bottom="0.5" header="0.25" footer="0.25"/>
  <pageSetup paperSize="5" orientation="portrait" r:id="rId5"/>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3">
    <pageSetUpPr fitToPage="1"/>
  </sheetPr>
  <dimension ref="B2:W48"/>
  <sheetViews>
    <sheetView zoomScaleNormal="100" workbookViewId="0">
      <selection activeCell="B3" sqref="B3:O3"/>
    </sheetView>
  </sheetViews>
  <sheetFormatPr defaultRowHeight="13.2"/>
  <cols>
    <col min="1" max="4" width="4.6640625" customWidth="1"/>
    <col min="5" max="5" width="17.88671875" customWidth="1"/>
    <col min="7" max="7" width="16.6640625" customWidth="1"/>
    <col min="8" max="8" width="1.6640625" customWidth="1"/>
    <col min="9" max="9" width="15.6640625" customWidth="1"/>
    <col min="10" max="10" width="1.6640625" customWidth="1"/>
    <col min="11" max="11" width="8.6640625" customWidth="1"/>
    <col min="12" max="12" width="7.6640625" customWidth="1"/>
  </cols>
  <sheetData>
    <row r="2" spans="2:23" ht="20.399999999999999">
      <c r="B2" s="1508" t="s">
        <v>160</v>
      </c>
      <c r="C2" s="1508"/>
      <c r="D2" s="1508"/>
      <c r="E2" s="1508"/>
      <c r="F2" s="1508"/>
      <c r="G2" s="1508"/>
      <c r="H2" s="1508"/>
      <c r="I2" s="1508"/>
      <c r="J2" s="1508"/>
      <c r="K2" s="1508"/>
      <c r="L2" s="1508"/>
    </row>
    <row r="3" spans="2:23" ht="20.399999999999999">
      <c r="B3" s="1508" t="str">
        <f>"AND "&amp;TEXT('KEY INPUTS'!D33,"0")&amp;" DEBT  SERVICE  FOR  BONDS"</f>
        <v>AND 2020 DEBT  SERVICE  FOR  BONDS</v>
      </c>
      <c r="C3" s="1508"/>
      <c r="D3" s="1508"/>
      <c r="E3" s="1508"/>
      <c r="F3" s="1508"/>
      <c r="G3" s="1508"/>
      <c r="H3" s="1508"/>
      <c r="I3" s="1508"/>
      <c r="J3" s="1508"/>
      <c r="K3" s="1508"/>
      <c r="L3" s="1508"/>
    </row>
    <row r="4" spans="2:23" ht="15.6">
      <c r="B4" s="1509" t="s">
        <v>704</v>
      </c>
      <c r="C4" s="1509"/>
      <c r="D4" s="1509"/>
      <c r="E4" s="1509"/>
      <c r="F4" s="1509"/>
      <c r="G4" s="1509"/>
      <c r="H4" s="1509"/>
      <c r="I4" s="1509"/>
      <c r="J4" s="1509"/>
      <c r="K4" s="1509"/>
      <c r="L4" s="1509"/>
    </row>
    <row r="5" spans="2:23" ht="9.75" customHeight="1" thickBot="1">
      <c r="B5" s="108"/>
      <c r="C5" s="108"/>
      <c r="D5" s="108"/>
      <c r="E5" s="108"/>
      <c r="F5" s="108"/>
      <c r="G5" s="108"/>
      <c r="H5" s="108"/>
      <c r="I5" s="108"/>
      <c r="J5" s="108"/>
      <c r="K5" s="108"/>
      <c r="L5" s="108"/>
    </row>
    <row r="6" spans="2:23" ht="27.75" customHeight="1" thickTop="1" thickBot="1">
      <c r="B6" s="61"/>
      <c r="C6" s="61"/>
      <c r="D6" s="61"/>
      <c r="E6" s="61"/>
      <c r="F6" s="61"/>
      <c r="G6" s="4" t="s">
        <v>125</v>
      </c>
      <c r="H6" s="1633" t="s">
        <v>126</v>
      </c>
      <c r="I6" s="1554"/>
      <c r="J6" s="1659" t="str">
        <f>'31A-Loan Schedule'!J6:L6</f>
        <v>2020  Debt       Service</v>
      </c>
      <c r="K6" s="1675"/>
      <c r="L6" s="1676"/>
    </row>
    <row r="7" spans="2:23" ht="21" customHeight="1" thickTop="1">
      <c r="B7" s="283" t="str">
        <f>'KEY INPUTS'!D27</f>
        <v>Outstanding - January 1, 2019</v>
      </c>
      <c r="C7" s="283"/>
      <c r="D7" s="283"/>
      <c r="E7" s="283"/>
      <c r="F7" s="283" t="s">
        <v>705</v>
      </c>
      <c r="G7" s="145" t="s">
        <v>787</v>
      </c>
      <c r="H7" s="1705"/>
      <c r="I7" s="1706"/>
      <c r="O7" s="322"/>
      <c r="P7" s="322"/>
      <c r="Q7" s="322"/>
      <c r="R7" s="322"/>
      <c r="S7" s="322"/>
      <c r="T7" s="322"/>
      <c r="U7" s="322"/>
      <c r="V7" s="322"/>
      <c r="W7" s="322"/>
    </row>
    <row r="8" spans="2:23" ht="21" customHeight="1">
      <c r="B8" s="323" t="s">
        <v>326</v>
      </c>
      <c r="C8" s="323"/>
      <c r="D8" s="323"/>
      <c r="E8" s="323"/>
      <c r="F8" s="323" t="s">
        <v>318</v>
      </c>
      <c r="G8" s="374"/>
      <c r="H8" s="1661" t="s">
        <v>787</v>
      </c>
      <c r="I8" s="1662"/>
      <c r="O8" s="322"/>
      <c r="P8" s="322"/>
      <c r="Q8" s="322"/>
      <c r="R8" s="322"/>
      <c r="S8" s="322"/>
      <c r="T8" s="322"/>
      <c r="U8" s="322"/>
      <c r="V8" s="322"/>
      <c r="W8" s="322"/>
    </row>
    <row r="9" spans="2:23" ht="21" customHeight="1">
      <c r="B9" s="566"/>
      <c r="C9" s="566"/>
      <c r="D9" s="566"/>
      <c r="E9" s="566"/>
      <c r="F9" s="566"/>
      <c r="G9" s="601"/>
      <c r="H9" s="1679"/>
      <c r="I9" s="1680"/>
      <c r="O9" s="322"/>
      <c r="P9" s="322"/>
      <c r="Q9" s="322"/>
      <c r="R9" s="322"/>
      <c r="S9" s="322"/>
      <c r="T9" s="322"/>
      <c r="U9" s="322"/>
      <c r="V9" s="322"/>
      <c r="W9" s="322"/>
    </row>
    <row r="10" spans="2:23" ht="21" customHeight="1">
      <c r="B10" s="566"/>
      <c r="C10" s="566"/>
      <c r="D10" s="566"/>
      <c r="E10" s="566"/>
      <c r="F10" s="566"/>
      <c r="G10" s="601"/>
      <c r="H10" s="1679"/>
      <c r="I10" s="1680"/>
      <c r="O10" s="322"/>
      <c r="P10" s="322"/>
      <c r="Q10" s="322"/>
      <c r="R10" s="322"/>
      <c r="S10" s="322"/>
      <c r="T10" s="322"/>
      <c r="U10" s="322"/>
      <c r="V10" s="322"/>
      <c r="W10" s="322"/>
    </row>
    <row r="11" spans="2:23" ht="21" customHeight="1" thickBot="1">
      <c r="B11" s="323" t="str">
        <f>'KEY INPUTS'!D28</f>
        <v>Outstanding - December 31, 2019</v>
      </c>
      <c r="C11" s="323"/>
      <c r="D11" s="323"/>
      <c r="E11" s="323"/>
      <c r="F11" s="323" t="s">
        <v>706</v>
      </c>
      <c r="G11" s="141">
        <f>+H7-G8-G9-G10+H9+H10</f>
        <v>0</v>
      </c>
      <c r="H11" s="1663" t="s">
        <v>787</v>
      </c>
      <c r="I11" s="1664"/>
      <c r="O11" s="322"/>
      <c r="P11" s="322"/>
      <c r="Q11" s="322"/>
      <c r="R11" s="322"/>
      <c r="S11" s="322"/>
      <c r="T11" s="322"/>
      <c r="U11" s="322"/>
      <c r="V11" s="322"/>
      <c r="W11" s="322"/>
    </row>
    <row r="12" spans="2:23" ht="21" customHeight="1" thickBot="1">
      <c r="B12" s="322"/>
      <c r="C12" s="322"/>
      <c r="D12" s="322"/>
      <c r="E12" s="322"/>
      <c r="F12" s="322"/>
      <c r="G12" s="137">
        <f>SUM(G7:G11)</f>
        <v>0</v>
      </c>
      <c r="H12" s="1710">
        <f>SUM(H7:I11)</f>
        <v>0</v>
      </c>
      <c r="I12" s="1711"/>
      <c r="O12" s="322"/>
      <c r="P12" s="322"/>
      <c r="Q12" s="322"/>
      <c r="R12" s="322"/>
      <c r="S12" s="322"/>
      <c r="T12" s="322"/>
      <c r="U12" s="322"/>
      <c r="V12" s="322"/>
      <c r="W12" s="322"/>
    </row>
    <row r="13" spans="2:23" ht="21" customHeight="1" thickTop="1">
      <c r="B13" s="284" t="str">
        <f>TEXT('KEY INPUTS'!D33,"0")&amp;" Bond Maturities - Term Bonds"</f>
        <v>2020 Bond Maturities - Term Bonds</v>
      </c>
      <c r="C13" s="284"/>
      <c r="D13" s="284"/>
      <c r="E13" s="284"/>
      <c r="F13" s="284"/>
      <c r="G13" s="121" t="s">
        <v>707</v>
      </c>
      <c r="H13" s="30" t="s">
        <v>482</v>
      </c>
      <c r="I13" s="607"/>
      <c r="J13" s="74"/>
      <c r="K13" s="1713"/>
      <c r="L13" s="1713"/>
      <c r="O13" s="322"/>
      <c r="P13" s="322"/>
      <c r="Q13" s="322"/>
      <c r="R13" s="322"/>
      <c r="S13" s="322"/>
      <c r="T13" s="322"/>
      <c r="U13" s="322"/>
      <c r="V13" s="322"/>
      <c r="W13" s="322"/>
    </row>
    <row r="14" spans="2:23" ht="21" customHeight="1" thickBot="1">
      <c r="B14" s="27" t="str">
        <f>TEXT('KEY INPUTS'!D33,"0")&amp;" Interest on Bonds"</f>
        <v>2020 Interest on Bonds</v>
      </c>
      <c r="C14" s="27"/>
      <c r="D14" s="27"/>
      <c r="E14" s="27"/>
      <c r="F14" s="27"/>
      <c r="G14" s="77" t="s">
        <v>708</v>
      </c>
      <c r="H14" s="27" t="s">
        <v>482</v>
      </c>
      <c r="I14" s="608"/>
      <c r="O14" s="322"/>
      <c r="P14" s="377"/>
      <c r="Q14" s="322"/>
      <c r="R14" s="322"/>
      <c r="S14" s="322"/>
      <c r="T14" s="322"/>
      <c r="U14" s="322"/>
      <c r="V14" s="322"/>
      <c r="W14" s="322"/>
    </row>
    <row r="15" spans="2:23" ht="16.5" customHeight="1" thickTop="1">
      <c r="B15" s="1665"/>
      <c r="C15" s="1665"/>
      <c r="D15" s="1665"/>
      <c r="E15" s="1665"/>
      <c r="F15" s="1665"/>
      <c r="G15" s="1665"/>
      <c r="H15" s="1665"/>
      <c r="I15" s="1666"/>
      <c r="O15" s="322"/>
      <c r="P15" s="322"/>
      <c r="Q15" s="322"/>
      <c r="R15" s="322"/>
      <c r="S15" s="322"/>
      <c r="T15" s="322"/>
      <c r="U15" s="322"/>
      <c r="V15" s="322"/>
      <c r="W15" s="322"/>
    </row>
    <row r="16" spans="2:23" ht="26.25" customHeight="1" thickBot="1">
      <c r="B16" s="1669" t="s">
        <v>99</v>
      </c>
      <c r="C16" s="1669"/>
      <c r="D16" s="1669"/>
      <c r="E16" s="1669"/>
      <c r="F16" s="1669"/>
      <c r="G16" s="1669"/>
      <c r="H16" s="1669"/>
      <c r="I16" s="1670"/>
      <c r="O16" s="322"/>
      <c r="P16" s="322"/>
      <c r="Q16" s="322"/>
      <c r="R16" s="322"/>
      <c r="S16" s="322"/>
      <c r="T16" s="322"/>
      <c r="U16" s="322"/>
      <c r="V16" s="322"/>
      <c r="W16" s="322"/>
    </row>
    <row r="17" spans="2:23" ht="21" customHeight="1" thickTop="1">
      <c r="B17" s="283" t="str">
        <f>B7</f>
        <v>Outstanding - January 1, 2019</v>
      </c>
      <c r="C17" s="283"/>
      <c r="D17" s="283"/>
      <c r="E17" s="283"/>
      <c r="F17" s="283" t="s">
        <v>100</v>
      </c>
      <c r="G17" s="145" t="s">
        <v>787</v>
      </c>
      <c r="H17" s="1651"/>
      <c r="I17" s="1652"/>
      <c r="O17" s="322"/>
      <c r="P17" s="322"/>
      <c r="Q17" s="322"/>
      <c r="R17" s="322"/>
      <c r="S17" s="322"/>
      <c r="T17" s="322"/>
      <c r="U17" s="322"/>
      <c r="V17" s="322"/>
      <c r="W17" s="322"/>
    </row>
    <row r="18" spans="2:23" ht="21" customHeight="1">
      <c r="B18" s="323" t="s">
        <v>113</v>
      </c>
      <c r="C18" s="323"/>
      <c r="D18" s="323"/>
      <c r="E18" s="323"/>
      <c r="F18" s="323" t="s">
        <v>87</v>
      </c>
      <c r="G18" s="146" t="s">
        <v>787</v>
      </c>
      <c r="H18" s="1651"/>
      <c r="I18" s="1652"/>
      <c r="O18" s="322"/>
      <c r="P18" s="322"/>
      <c r="Q18" s="322"/>
      <c r="R18" s="322"/>
      <c r="S18" s="322"/>
      <c r="T18" s="322"/>
      <c r="U18" s="322"/>
      <c r="V18" s="322"/>
      <c r="W18" s="322"/>
    </row>
    <row r="19" spans="2:23" ht="21" customHeight="1">
      <c r="B19" s="323" t="s">
        <v>326</v>
      </c>
      <c r="C19" s="323"/>
      <c r="D19" s="323"/>
      <c r="E19" s="323"/>
      <c r="F19" s="323" t="s">
        <v>88</v>
      </c>
      <c r="G19" s="374"/>
      <c r="H19" s="1661" t="s">
        <v>787</v>
      </c>
      <c r="I19" s="1662"/>
      <c r="O19" s="322"/>
      <c r="P19" s="322"/>
      <c r="Q19" s="322"/>
      <c r="R19" s="322"/>
      <c r="S19" s="322"/>
      <c r="T19" s="322"/>
      <c r="U19" s="322"/>
      <c r="V19" s="322"/>
      <c r="W19" s="322"/>
    </row>
    <row r="20" spans="2:23" ht="21" customHeight="1">
      <c r="B20" s="566"/>
      <c r="C20" s="566"/>
      <c r="D20" s="566"/>
      <c r="E20" s="566"/>
      <c r="F20" s="566"/>
      <c r="G20" s="601"/>
      <c r="H20" s="1679"/>
      <c r="I20" s="1680"/>
      <c r="O20" s="322"/>
      <c r="P20" s="322"/>
      <c r="Q20" s="322"/>
      <c r="R20" s="322"/>
      <c r="S20" s="322"/>
      <c r="T20" s="322"/>
      <c r="U20" s="322"/>
      <c r="V20" s="322"/>
      <c r="W20" s="322"/>
    </row>
    <row r="21" spans="2:23" ht="21" customHeight="1">
      <c r="B21" s="566"/>
      <c r="C21" s="566"/>
      <c r="D21" s="566"/>
      <c r="E21" s="566"/>
      <c r="F21" s="566"/>
      <c r="G21" s="601"/>
      <c r="H21" s="1679"/>
      <c r="I21" s="1680"/>
      <c r="O21" s="322"/>
      <c r="P21" s="322"/>
      <c r="Q21" s="322"/>
      <c r="R21" s="322"/>
      <c r="S21" s="322"/>
      <c r="T21" s="322"/>
      <c r="U21" s="322"/>
      <c r="V21" s="322"/>
      <c r="W21" s="322"/>
    </row>
    <row r="22" spans="2:23" ht="21" customHeight="1" thickBot="1">
      <c r="B22" s="323" t="str">
        <f>B11</f>
        <v>Outstanding - December 31, 2019</v>
      </c>
      <c r="C22" s="323"/>
      <c r="D22" s="323"/>
      <c r="E22" s="323"/>
      <c r="F22" s="323" t="s">
        <v>319</v>
      </c>
      <c r="G22" s="141">
        <f>+H17+H18-G19-G20-G21+H20+H21</f>
        <v>0</v>
      </c>
      <c r="H22" s="1663" t="s">
        <v>787</v>
      </c>
      <c r="I22" s="1664"/>
      <c r="O22" s="322"/>
      <c r="P22" s="322"/>
      <c r="Q22" s="322"/>
      <c r="R22" s="322"/>
      <c r="S22" s="322"/>
      <c r="T22" s="322"/>
      <c r="U22" s="322"/>
      <c r="V22" s="322"/>
      <c r="W22" s="322"/>
    </row>
    <row r="23" spans="2:23" ht="21" customHeight="1" thickBot="1">
      <c r="G23" s="137">
        <f>SUM(G17:G22)</f>
        <v>0</v>
      </c>
      <c r="H23" s="1710">
        <f>SUM(H17:I22)</f>
        <v>0</v>
      </c>
      <c r="I23" s="1711"/>
      <c r="O23" s="322"/>
      <c r="P23" s="322"/>
      <c r="Q23" s="322"/>
      <c r="R23" s="322"/>
      <c r="S23" s="322"/>
      <c r="T23" s="322"/>
      <c r="U23" s="322"/>
      <c r="V23" s="322"/>
      <c r="W23" s="322"/>
    </row>
    <row r="24" spans="2:23" ht="21" customHeight="1" thickTop="1">
      <c r="B24" s="284" t="str">
        <f>TEXT('KEY INPUTS'!D33,"0")&amp;" Interest on Bonds*"</f>
        <v>2020 Interest on Bonds*</v>
      </c>
      <c r="C24" s="284"/>
      <c r="D24" s="284"/>
      <c r="E24" s="284"/>
      <c r="F24" s="284"/>
      <c r="G24" s="121" t="s">
        <v>89</v>
      </c>
      <c r="H24" s="30" t="s">
        <v>482</v>
      </c>
      <c r="I24" s="610"/>
      <c r="J24" s="74"/>
      <c r="K24" s="1713"/>
      <c r="L24" s="1713"/>
      <c r="O24" s="322"/>
      <c r="P24" s="322"/>
      <c r="Q24" s="322"/>
      <c r="R24" s="322"/>
      <c r="S24" s="322"/>
      <c r="T24" s="322"/>
      <c r="U24" s="322"/>
      <c r="V24" s="322"/>
      <c r="W24" s="322"/>
    </row>
    <row r="25" spans="2:23" ht="21" customHeight="1" thickBot="1">
      <c r="B25" s="27" t="str">
        <f>TEXT('KEY INPUTS'!D33,"0")&amp;" Bond Maturities - Serial Bonds"</f>
        <v>2020 Bond Maturities - Serial Bonds</v>
      </c>
      <c r="C25" s="27"/>
      <c r="D25" s="27"/>
      <c r="E25" s="27"/>
      <c r="F25" s="27"/>
      <c r="G25" s="139"/>
      <c r="H25" s="27"/>
      <c r="I25" s="77" t="s">
        <v>90</v>
      </c>
      <c r="J25" s="30" t="s">
        <v>482</v>
      </c>
      <c r="K25" s="1714"/>
      <c r="L25" s="1714"/>
      <c r="O25" s="322"/>
      <c r="P25" s="322"/>
      <c r="Q25" s="322"/>
      <c r="R25" s="322"/>
      <c r="S25" s="322"/>
      <c r="T25" s="322"/>
      <c r="U25" s="322"/>
      <c r="V25" s="322"/>
      <c r="W25" s="322"/>
    </row>
    <row r="26" spans="2:23" ht="21" customHeight="1" thickTop="1" thickBot="1">
      <c r="B26" s="10" t="s">
        <v>92</v>
      </c>
      <c r="C26" s="10"/>
      <c r="D26" s="10"/>
      <c r="E26" s="10"/>
      <c r="F26" s="10"/>
      <c r="G26" s="10"/>
      <c r="H26" s="10"/>
      <c r="I26" s="140" t="s">
        <v>91</v>
      </c>
      <c r="J26" s="10" t="s">
        <v>482</v>
      </c>
      <c r="K26" s="1712">
        <f>+I24+I14</f>
        <v>0</v>
      </c>
      <c r="L26" s="1712"/>
    </row>
    <row r="27" spans="2:23" ht="21" customHeight="1" thickTop="1"/>
    <row r="28" spans="2:23" ht="21" customHeight="1" thickBot="1">
      <c r="B28" s="1709" t="str">
        <f>"LIST  OF  BONDS  ISSUED  DURING "&amp;TEXT('KEY INPUTS'!D34,"0")</f>
        <v>LIST  OF  BONDS  ISSUED  DURING 2019</v>
      </c>
      <c r="C28" s="1709"/>
      <c r="D28" s="1709"/>
      <c r="E28" s="1709"/>
      <c r="F28" s="1709"/>
      <c r="G28" s="1709"/>
      <c r="H28" s="1709"/>
      <c r="I28" s="1709"/>
      <c r="J28" s="1709"/>
      <c r="K28" s="1709"/>
      <c r="L28" s="1709"/>
    </row>
    <row r="29" spans="2:23" ht="27" customHeight="1" thickTop="1" thickBot="1">
      <c r="B29" s="1553" t="s">
        <v>532</v>
      </c>
      <c r="C29" s="1553"/>
      <c r="D29" s="1553"/>
      <c r="E29" s="1553"/>
      <c r="F29" s="1553"/>
      <c r="G29" s="143" t="str">
        <f>TEXT('KEY INPUTS'!D33,"0")&amp;" Maturity           -01"</f>
        <v>2020 Maturity           -01</v>
      </c>
      <c r="H29" s="1659" t="s">
        <v>94</v>
      </c>
      <c r="I29" s="1660"/>
      <c r="J29" s="1659" t="s">
        <v>107</v>
      </c>
      <c r="K29" s="1660"/>
      <c r="L29" s="811" t="s">
        <v>108</v>
      </c>
    </row>
    <row r="30" spans="2:23" ht="21" customHeight="1" thickTop="1">
      <c r="B30" s="569"/>
      <c r="C30" s="569"/>
      <c r="D30" s="569"/>
      <c r="E30" s="569"/>
      <c r="F30" s="569"/>
      <c r="G30" s="605"/>
      <c r="H30" s="1705"/>
      <c r="I30" s="1706"/>
      <c r="J30" s="1656"/>
      <c r="K30" s="1648"/>
      <c r="L30" s="951"/>
    </row>
    <row r="31" spans="2:23" ht="21" customHeight="1">
      <c r="B31" s="566"/>
      <c r="C31" s="566"/>
      <c r="D31" s="566"/>
      <c r="E31" s="566"/>
      <c r="F31" s="566"/>
      <c r="G31" s="601"/>
      <c r="H31" s="1679"/>
      <c r="I31" s="1680"/>
      <c r="J31" s="1650"/>
      <c r="K31" s="1645"/>
      <c r="L31" s="952"/>
    </row>
    <row r="32" spans="2:23" ht="21" customHeight="1">
      <c r="B32" s="566"/>
      <c r="C32" s="566"/>
      <c r="D32" s="566"/>
      <c r="E32" s="566"/>
      <c r="F32" s="566"/>
      <c r="G32" s="601"/>
      <c r="H32" s="1679"/>
      <c r="I32" s="1680"/>
      <c r="J32" s="1650"/>
      <c r="K32" s="1645"/>
      <c r="L32" s="952"/>
    </row>
    <row r="33" spans="2:12" ht="21" customHeight="1" thickBot="1">
      <c r="B33" s="27"/>
      <c r="C33" s="27"/>
      <c r="D33" s="27"/>
      <c r="E33" s="142" t="s">
        <v>260</v>
      </c>
      <c r="F33" s="41" t="s">
        <v>93</v>
      </c>
      <c r="G33" s="137">
        <f>SUM(G30:G32)</f>
        <v>0</v>
      </c>
      <c r="H33" s="1715">
        <f>SUM(H30:I32)</f>
        <v>0</v>
      </c>
      <c r="I33" s="1716"/>
      <c r="J33" s="40"/>
      <c r="K33" s="27"/>
      <c r="L33" s="19"/>
    </row>
    <row r="34" spans="2:12" ht="13.8" thickTop="1">
      <c r="G34" s="57"/>
      <c r="H34" s="57"/>
      <c r="I34" s="57"/>
    </row>
    <row r="35" spans="2:12" ht="7.5" customHeight="1"/>
    <row r="36" spans="2:12" ht="15.6">
      <c r="B36" s="1509" t="str">
        <f>TEXT('KEY INPUTS'!D33,"0")&amp;"  INTEREST  REQUIREMENT  -  CURRENT  FUND  DEBT  ONLY"</f>
        <v>2020  INTEREST  REQUIREMENT  -  CURRENT  FUND  DEBT  ONLY</v>
      </c>
      <c r="C36" s="1509"/>
      <c r="D36" s="1509"/>
      <c r="E36" s="1509"/>
      <c r="F36" s="1509"/>
      <c r="G36" s="1509"/>
      <c r="H36" s="1509"/>
      <c r="I36" s="1509"/>
      <c r="J36" s="1509"/>
      <c r="K36" s="1509"/>
      <c r="L36" s="1509"/>
    </row>
    <row r="37" spans="2:12" ht="9.75" customHeight="1">
      <c r="I37" s="9" t="s">
        <v>257</v>
      </c>
      <c r="J37" s="34"/>
      <c r="K37" s="1717" t="str">
        <f>TEXT('KEY INPUTS'!D33,"0")&amp;"  Interest"</f>
        <v>2020  Interest</v>
      </c>
      <c r="L37" s="1717"/>
    </row>
    <row r="38" spans="2:12" ht="9.75" customHeight="1">
      <c r="I38" s="304" t="str">
        <f>'KEY INPUTS'!D46</f>
        <v>Dec. 31, 2019</v>
      </c>
      <c r="J38" s="34"/>
      <c r="K38" s="1717" t="s">
        <v>162</v>
      </c>
      <c r="L38" s="1717"/>
    </row>
    <row r="40" spans="2:12" ht="20.100000000000001" customHeight="1">
      <c r="C40" s="990" t="s">
        <v>384</v>
      </c>
      <c r="D40" s="289" t="s">
        <v>167</v>
      </c>
      <c r="E40" s="322"/>
      <c r="F40" s="322"/>
      <c r="G40" s="144" t="s">
        <v>163</v>
      </c>
      <c r="H40" t="s">
        <v>482</v>
      </c>
      <c r="I40" s="376"/>
      <c r="J40" t="s">
        <v>482</v>
      </c>
      <c r="K40" s="1551"/>
      <c r="L40" s="1551"/>
    </row>
    <row r="41" spans="2:12" ht="20.100000000000001" customHeight="1">
      <c r="C41" s="990" t="s">
        <v>385</v>
      </c>
      <c r="D41" s="289" t="s">
        <v>168</v>
      </c>
      <c r="E41" s="322"/>
      <c r="F41" s="322"/>
      <c r="G41" s="144" t="s">
        <v>164</v>
      </c>
      <c r="H41" t="s">
        <v>482</v>
      </c>
      <c r="I41" s="376"/>
      <c r="J41" t="s">
        <v>482</v>
      </c>
      <c r="K41" s="1551"/>
      <c r="L41" s="1551"/>
    </row>
    <row r="42" spans="2:12" ht="20.100000000000001" customHeight="1">
      <c r="C42" s="990" t="s">
        <v>386</v>
      </c>
      <c r="D42" s="289" t="s">
        <v>169</v>
      </c>
      <c r="E42" s="322"/>
      <c r="F42" s="322"/>
      <c r="G42" s="144" t="s">
        <v>165</v>
      </c>
      <c r="H42" t="s">
        <v>482</v>
      </c>
      <c r="I42" s="376"/>
      <c r="J42" t="s">
        <v>482</v>
      </c>
      <c r="K42" s="1551"/>
      <c r="L42" s="1551"/>
    </row>
    <row r="43" spans="2:12" ht="20.100000000000001" customHeight="1">
      <c r="C43" s="990" t="s">
        <v>387</v>
      </c>
      <c r="D43" s="289" t="s">
        <v>170</v>
      </c>
      <c r="E43" s="322"/>
      <c r="F43" s="322"/>
      <c r="G43" s="144" t="s">
        <v>166</v>
      </c>
      <c r="H43" t="s">
        <v>482</v>
      </c>
      <c r="I43" s="376"/>
      <c r="J43" t="s">
        <v>482</v>
      </c>
      <c r="K43" s="1551"/>
      <c r="L43" s="1551"/>
    </row>
    <row r="44" spans="2:12" ht="20.100000000000001" customHeight="1">
      <c r="C44" s="85" t="s">
        <v>388</v>
      </c>
      <c r="D44" s="375"/>
      <c r="E44" s="375"/>
      <c r="F44" s="375"/>
      <c r="H44" t="s">
        <v>482</v>
      </c>
      <c r="I44" s="376"/>
      <c r="J44" t="s">
        <v>482</v>
      </c>
      <c r="K44" s="1551"/>
      <c r="L44" s="1551"/>
    </row>
    <row r="45" spans="2:12" ht="20.100000000000001" customHeight="1">
      <c r="C45" s="85" t="s">
        <v>389</v>
      </c>
      <c r="D45" s="375"/>
      <c r="E45" s="375"/>
      <c r="F45" s="375"/>
      <c r="H45" t="s">
        <v>482</v>
      </c>
      <c r="I45" s="376"/>
      <c r="J45" t="s">
        <v>482</v>
      </c>
      <c r="K45" s="1551"/>
      <c r="L45" s="1551"/>
    </row>
    <row r="46" spans="2:12">
      <c r="L46" s="322"/>
    </row>
    <row r="48" spans="2:12" ht="13.8">
      <c r="B48" s="1507" t="s">
        <v>171</v>
      </c>
      <c r="C48" s="1507"/>
      <c r="D48" s="1507"/>
      <c r="E48" s="1507"/>
      <c r="F48" s="1507"/>
      <c r="G48" s="1507"/>
      <c r="H48" s="1507"/>
      <c r="I48" s="1507"/>
      <c r="J48" s="1507"/>
      <c r="K48" s="1507"/>
      <c r="L48" s="1507"/>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M9" sqref="M9"/>
      <pageMargins left="0.25" right="0.25" top="0.5" bottom="0.5" header="0.25" footer="0.25"/>
      <pageSetup paperSize="5" orientation="portrait" r:id="rId2"/>
      <headerFooter alignWithMargins="0"/>
    </customSheetView>
    <customSheetView guid="{A64E4C9E-A3DA-4AAA-8607-F524450B9436}">
      <selection activeCell="M9" sqref="M9"/>
      <pageMargins left="0.25" right="0.25" top="0.5" bottom="0.5" header="0.25" footer="0.25"/>
      <pageSetup paperSize="5" orientation="portrait" r:id="rId3"/>
      <headerFooter alignWithMargins="0"/>
    </customSheetView>
    <customSheetView guid="{AB4FBD91-4533-473A-9702-569FF6402073}">
      <selection activeCell="M9" sqref="M9"/>
      <pageMargins left="0.25" right="0.25" top="0.5" bottom="0.5" header="0.25" footer="0.25"/>
      <pageSetup paperSize="5" orientation="portrait" r:id="rId4"/>
      <headerFooter alignWithMargins="0"/>
    </customSheetView>
  </customSheetViews>
  <mergeCells count="45">
    <mergeCell ref="K37:L37"/>
    <mergeCell ref="B48:L48"/>
    <mergeCell ref="K45:L45"/>
    <mergeCell ref="K41:L41"/>
    <mergeCell ref="K42:L42"/>
    <mergeCell ref="K43:L43"/>
    <mergeCell ref="K44:L44"/>
    <mergeCell ref="K38:L38"/>
    <mergeCell ref="K40:L40"/>
    <mergeCell ref="H19:I19"/>
    <mergeCell ref="H20:I20"/>
    <mergeCell ref="B36:L36"/>
    <mergeCell ref="K25:L25"/>
    <mergeCell ref="J32:K32"/>
    <mergeCell ref="J30:K30"/>
    <mergeCell ref="J31:K31"/>
    <mergeCell ref="B29:F29"/>
    <mergeCell ref="J29:K29"/>
    <mergeCell ref="H22:I22"/>
    <mergeCell ref="H29:I29"/>
    <mergeCell ref="H30:I30"/>
    <mergeCell ref="H33:I33"/>
    <mergeCell ref="H31:I31"/>
    <mergeCell ref="H32:I32"/>
    <mergeCell ref="H11:I11"/>
    <mergeCell ref="H7:I7"/>
    <mergeCell ref="H9:I9"/>
    <mergeCell ref="B28:L28"/>
    <mergeCell ref="H23:I23"/>
    <mergeCell ref="H17:I17"/>
    <mergeCell ref="B15:I15"/>
    <mergeCell ref="H18:I18"/>
    <mergeCell ref="K26:L26"/>
    <mergeCell ref="K24:L24"/>
    <mergeCell ref="K13:L13"/>
    <mergeCell ref="B16:I16"/>
    <mergeCell ref="H10:I10"/>
    <mergeCell ref="H12:I12"/>
    <mergeCell ref="H8:I8"/>
    <mergeCell ref="H21:I21"/>
    <mergeCell ref="B2:L2"/>
    <mergeCell ref="B3:L3"/>
    <mergeCell ref="B4:L4"/>
    <mergeCell ref="J6:L6"/>
    <mergeCell ref="H6:I6"/>
  </mergeCells>
  <phoneticPr fontId="0" type="noConversion"/>
  <pageMargins left="0.25" right="0.25" top="0.5" bottom="0.5" header="0.25" footer="0.25"/>
  <pageSetup paperSize="5" orientation="portrait" r:id="rId5"/>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4">
    <pageSetUpPr fitToPage="1"/>
  </sheetPr>
  <dimension ref="A1:V35"/>
  <sheetViews>
    <sheetView workbookViewId="0">
      <selection activeCell="B3" sqref="B3:O3"/>
    </sheetView>
  </sheetViews>
  <sheetFormatPr defaultRowHeight="13.2"/>
  <cols>
    <col min="1" max="1" width="5.6640625" customWidth="1"/>
    <col min="2" max="3" width="4.88671875" customWidth="1"/>
    <col min="4" max="4" width="30.6640625" customWidth="1"/>
    <col min="5" max="12" width="15.6640625" customWidth="1"/>
    <col min="13" max="13" width="12.88671875" bestFit="1" customWidth="1"/>
  </cols>
  <sheetData>
    <row r="1" spans="1:22">
      <c r="B1" s="322"/>
      <c r="C1" s="322"/>
      <c r="D1" s="322"/>
      <c r="E1" s="322"/>
      <c r="F1" s="322"/>
      <c r="G1" s="322"/>
      <c r="H1" s="322"/>
      <c r="I1" s="322"/>
      <c r="J1" s="322"/>
      <c r="K1" s="322"/>
      <c r="L1" s="322"/>
    </row>
    <row r="2" spans="1:22" ht="20.399999999999999">
      <c r="B2" s="1508" t="s">
        <v>172</v>
      </c>
      <c r="C2" s="1508"/>
      <c r="D2" s="1508"/>
      <c r="E2" s="1508"/>
      <c r="F2" s="1508"/>
      <c r="G2" s="1508"/>
      <c r="H2" s="1508"/>
      <c r="I2" s="1508"/>
      <c r="J2" s="1508"/>
      <c r="K2" s="1508"/>
      <c r="L2" s="1508"/>
    </row>
    <row r="3" spans="1:22" ht="21" thickBot="1">
      <c r="B3" s="1508"/>
      <c r="C3" s="1508"/>
      <c r="D3" s="1508"/>
      <c r="E3" s="1508"/>
      <c r="F3" s="1508"/>
      <c r="G3" s="1508"/>
      <c r="H3" s="1508"/>
      <c r="I3" s="1508"/>
      <c r="J3" s="1508"/>
      <c r="K3" s="1508"/>
      <c r="L3" s="1508"/>
    </row>
    <row r="4" spans="1:22" ht="13.5" customHeight="1" thickTop="1">
      <c r="B4" s="11"/>
      <c r="C4" s="11"/>
      <c r="D4" s="11"/>
      <c r="E4" s="12"/>
      <c r="F4" s="12"/>
      <c r="G4" s="12"/>
      <c r="H4" s="12"/>
      <c r="I4" s="12"/>
      <c r="J4" s="11"/>
      <c r="K4" s="11"/>
      <c r="L4" s="18"/>
    </row>
    <row r="5" spans="1:22" ht="13.5" customHeight="1">
      <c r="B5" s="322"/>
      <c r="C5" s="322"/>
      <c r="D5" s="322"/>
      <c r="E5" s="282" t="s">
        <v>176</v>
      </c>
      <c r="F5" s="997" t="s">
        <v>176</v>
      </c>
      <c r="G5" s="997" t="s">
        <v>533</v>
      </c>
      <c r="H5" s="997" t="s">
        <v>18</v>
      </c>
      <c r="I5" s="997" t="s">
        <v>684</v>
      </c>
      <c r="J5" s="1720" t="str">
        <f>TEXT('KEY INPUTS'!D33,"0")&amp;" Budget Requirements"</f>
        <v>2020 Budget Requirements</v>
      </c>
      <c r="K5" s="1721"/>
      <c r="L5" s="21" t="s">
        <v>685</v>
      </c>
    </row>
    <row r="6" spans="1:22" ht="13.5" customHeight="1">
      <c r="B6" s="322"/>
      <c r="C6" s="1546" t="s">
        <v>175</v>
      </c>
      <c r="D6" s="1595"/>
      <c r="E6" s="282" t="s">
        <v>533</v>
      </c>
      <c r="F6" s="997" t="s">
        <v>177</v>
      </c>
      <c r="G6" s="997" t="s">
        <v>681</v>
      </c>
      <c r="H6" s="997" t="s">
        <v>682</v>
      </c>
      <c r="I6" s="997" t="s">
        <v>682</v>
      </c>
      <c r="J6" s="1722"/>
      <c r="K6" s="1723"/>
      <c r="L6" s="21" t="s">
        <v>688</v>
      </c>
    </row>
    <row r="7" spans="1:22" ht="13.5" customHeight="1">
      <c r="B7" s="322"/>
      <c r="C7" s="322"/>
      <c r="D7" s="322"/>
      <c r="E7" s="282" t="s">
        <v>113</v>
      </c>
      <c r="F7" s="282" t="s">
        <v>178</v>
      </c>
      <c r="G7" s="282" t="s">
        <v>257</v>
      </c>
      <c r="H7" s="282" t="s">
        <v>683</v>
      </c>
      <c r="I7" s="282" t="s">
        <v>685</v>
      </c>
      <c r="J7" s="282" t="s">
        <v>142</v>
      </c>
      <c r="K7" s="282" t="s">
        <v>686</v>
      </c>
      <c r="L7" s="21" t="s">
        <v>689</v>
      </c>
    </row>
    <row r="8" spans="1:22" ht="13.5" customHeight="1" thickBot="1">
      <c r="B8" s="10"/>
      <c r="C8" s="10"/>
      <c r="D8" s="10"/>
      <c r="E8" s="14"/>
      <c r="F8" s="14"/>
      <c r="G8" s="305" t="str">
        <f>'KEY INPUTS'!D46</f>
        <v>Dec. 31, 2019</v>
      </c>
      <c r="H8" s="14"/>
      <c r="I8" s="14"/>
      <c r="J8" s="16"/>
      <c r="K8" s="149" t="s">
        <v>687</v>
      </c>
      <c r="L8" s="19"/>
    </row>
    <row r="9" spans="1:22" ht="21" customHeight="1" thickTop="1">
      <c r="B9" s="1724" t="s">
        <v>3903</v>
      </c>
      <c r="C9" s="1725"/>
      <c r="D9" s="1726"/>
      <c r="E9" s="374">
        <v>506700</v>
      </c>
      <c r="F9" s="611">
        <v>43097</v>
      </c>
      <c r="G9" s="374">
        <v>476700</v>
      </c>
      <c r="H9" s="612">
        <v>44134</v>
      </c>
      <c r="I9" s="955">
        <v>2.2499999999999999E-2</v>
      </c>
      <c r="J9" s="613">
        <v>30000</v>
      </c>
      <c r="K9" s="374">
        <f t="shared" ref="K9:K15" si="0">G9*I9</f>
        <v>10725.75</v>
      </c>
      <c r="L9" s="614">
        <v>44134</v>
      </c>
      <c r="M9" s="325"/>
    </row>
    <row r="10" spans="1:22" ht="21" customHeight="1">
      <c r="B10" s="1727" t="s">
        <v>3904</v>
      </c>
      <c r="C10" s="1718"/>
      <c r="D10" s="1719"/>
      <c r="E10" s="374">
        <v>500000</v>
      </c>
      <c r="F10" s="611">
        <v>43405</v>
      </c>
      <c r="G10" s="374">
        <v>470000</v>
      </c>
      <c r="H10" s="612">
        <v>44134</v>
      </c>
      <c r="I10" s="955">
        <v>2.2499999999999999E-2</v>
      </c>
      <c r="J10" s="613">
        <v>30000</v>
      </c>
      <c r="K10" s="374">
        <f t="shared" si="0"/>
        <v>10575</v>
      </c>
      <c r="L10" s="614">
        <v>44134</v>
      </c>
      <c r="M10" s="325"/>
      <c r="P10" s="322"/>
      <c r="Q10" s="322"/>
      <c r="R10" s="322"/>
      <c r="S10" s="322"/>
      <c r="T10" s="322"/>
      <c r="U10" s="322"/>
      <c r="V10" s="322"/>
    </row>
    <row r="11" spans="1:22" ht="21" customHeight="1">
      <c r="B11" s="1727" t="s">
        <v>3906</v>
      </c>
      <c r="C11" s="1718"/>
      <c r="D11" s="1719"/>
      <c r="E11" s="374">
        <v>493000</v>
      </c>
      <c r="F11" s="611">
        <v>43097</v>
      </c>
      <c r="G11" s="374">
        <v>478300</v>
      </c>
      <c r="H11" s="612">
        <v>44134</v>
      </c>
      <c r="I11" s="955">
        <v>2.2499999999999999E-2</v>
      </c>
      <c r="J11" s="613">
        <v>15000</v>
      </c>
      <c r="K11" s="374">
        <f t="shared" si="0"/>
        <v>10761.75</v>
      </c>
      <c r="L11" s="614">
        <v>44134</v>
      </c>
      <c r="M11" s="325"/>
      <c r="P11" s="322"/>
      <c r="Q11" s="322"/>
      <c r="R11" s="322"/>
      <c r="S11" s="322"/>
      <c r="T11" s="322"/>
      <c r="U11" s="322"/>
      <c r="V11" s="322"/>
    </row>
    <row r="12" spans="1:22" ht="21" customHeight="1">
      <c r="B12" s="1727" t="s">
        <v>3905</v>
      </c>
      <c r="C12" s="1718"/>
      <c r="D12" s="1719"/>
      <c r="E12" s="374">
        <v>228000</v>
      </c>
      <c r="F12" s="611">
        <v>43405</v>
      </c>
      <c r="G12" s="374">
        <v>228000</v>
      </c>
      <c r="H12" s="612">
        <v>44134</v>
      </c>
      <c r="I12" s="955">
        <v>2.2499999999999999E-2</v>
      </c>
      <c r="J12" s="613">
        <v>0</v>
      </c>
      <c r="K12" s="374">
        <f t="shared" si="0"/>
        <v>5130</v>
      </c>
      <c r="L12" s="614">
        <v>44134</v>
      </c>
      <c r="M12" s="325"/>
      <c r="P12" s="377"/>
      <c r="Q12" s="322"/>
      <c r="R12" s="322"/>
      <c r="S12" s="322"/>
      <c r="T12" s="322"/>
      <c r="U12" s="322"/>
      <c r="V12" s="322"/>
    </row>
    <row r="13" spans="1:22" ht="21" customHeight="1">
      <c r="B13" s="1727" t="s">
        <v>3907</v>
      </c>
      <c r="C13" s="1718"/>
      <c r="D13" s="1719"/>
      <c r="E13" s="374">
        <v>970000</v>
      </c>
      <c r="F13" s="611">
        <v>43405</v>
      </c>
      <c r="G13" s="374">
        <v>970000</v>
      </c>
      <c r="H13" s="612">
        <v>44134</v>
      </c>
      <c r="I13" s="955">
        <v>2.2499999999999999E-2</v>
      </c>
      <c r="J13" s="613">
        <v>0</v>
      </c>
      <c r="K13" s="374">
        <f t="shared" si="0"/>
        <v>21825</v>
      </c>
      <c r="L13" s="614">
        <v>44134</v>
      </c>
      <c r="M13" s="325"/>
      <c r="P13" s="322"/>
      <c r="Q13" s="322"/>
      <c r="R13" s="322"/>
      <c r="S13" s="322"/>
      <c r="T13" s="322"/>
      <c r="U13" s="322"/>
      <c r="V13" s="322"/>
    </row>
    <row r="14" spans="1:22" ht="21" customHeight="1">
      <c r="B14" s="1727" t="s">
        <v>3908</v>
      </c>
      <c r="C14" s="1718"/>
      <c r="D14" s="1719"/>
      <c r="E14" s="374">
        <v>1283000</v>
      </c>
      <c r="F14" s="611">
        <v>43770</v>
      </c>
      <c r="G14" s="374">
        <v>1283000</v>
      </c>
      <c r="H14" s="612">
        <v>44134</v>
      </c>
      <c r="I14" s="955">
        <v>2.2499999999999999E-2</v>
      </c>
      <c r="J14" s="374">
        <v>450</v>
      </c>
      <c r="K14" s="374">
        <f t="shared" si="0"/>
        <v>28867.5</v>
      </c>
      <c r="L14" s="614">
        <v>44134</v>
      </c>
      <c r="P14" s="322"/>
      <c r="Q14" s="322"/>
      <c r="R14" s="322"/>
      <c r="S14" s="322"/>
      <c r="T14" s="322"/>
      <c r="U14" s="322"/>
      <c r="V14" s="322"/>
    </row>
    <row r="15" spans="1:22" ht="21" customHeight="1">
      <c r="A15" s="1577" t="s">
        <v>173</v>
      </c>
      <c r="B15" s="1727" t="s">
        <v>3909</v>
      </c>
      <c r="C15" s="1718"/>
      <c r="D15" s="1719"/>
      <c r="E15" s="374">
        <v>1245000</v>
      </c>
      <c r="F15" s="611">
        <v>43770</v>
      </c>
      <c r="G15" s="374">
        <v>1245000</v>
      </c>
      <c r="H15" s="612">
        <v>44134</v>
      </c>
      <c r="I15" s="955">
        <v>2.2499999999999999E-2</v>
      </c>
      <c r="J15" s="374">
        <v>500</v>
      </c>
      <c r="K15" s="374">
        <f t="shared" si="0"/>
        <v>28012.5</v>
      </c>
      <c r="L15" s="614">
        <v>44134</v>
      </c>
      <c r="P15" s="322"/>
      <c r="Q15" s="322"/>
      <c r="R15" s="322"/>
      <c r="S15" s="322"/>
      <c r="T15" s="322"/>
      <c r="U15" s="322"/>
      <c r="V15" s="322"/>
    </row>
    <row r="16" spans="1:22" ht="21" customHeight="1">
      <c r="A16" s="1577"/>
      <c r="B16" s="1718"/>
      <c r="C16" s="1718"/>
      <c r="D16" s="1719"/>
      <c r="E16" s="374"/>
      <c r="F16" s="611"/>
      <c r="G16" s="374"/>
      <c r="H16" s="612"/>
      <c r="I16" s="955"/>
      <c r="J16" s="374"/>
      <c r="K16" s="374"/>
      <c r="L16" s="614"/>
      <c r="P16" s="322"/>
      <c r="Q16" s="322"/>
      <c r="R16" s="322"/>
      <c r="S16" s="322"/>
      <c r="T16" s="322"/>
      <c r="U16" s="322"/>
      <c r="V16" s="322"/>
    </row>
    <row r="17" spans="1:22" ht="21" customHeight="1">
      <c r="A17" s="1577"/>
      <c r="B17" s="1718"/>
      <c r="C17" s="1718"/>
      <c r="D17" s="1719"/>
      <c r="E17" s="374"/>
      <c r="F17" s="611"/>
      <c r="G17" s="374"/>
      <c r="H17" s="612"/>
      <c r="I17" s="955"/>
      <c r="J17" s="374"/>
      <c r="K17" s="374"/>
      <c r="L17" s="614"/>
      <c r="P17" s="322"/>
      <c r="Q17" s="322"/>
      <c r="R17" s="322"/>
      <c r="S17" s="322"/>
      <c r="T17" s="322"/>
      <c r="U17" s="322"/>
      <c r="V17" s="322"/>
    </row>
    <row r="18" spans="1:22" ht="21" customHeight="1">
      <c r="A18" s="138"/>
      <c r="B18" s="1718"/>
      <c r="C18" s="1718"/>
      <c r="D18" s="1719"/>
      <c r="E18" s="374"/>
      <c r="F18" s="611"/>
      <c r="G18" s="374"/>
      <c r="H18" s="612"/>
      <c r="I18" s="955"/>
      <c r="J18" s="374"/>
      <c r="K18" s="374"/>
      <c r="L18" s="614"/>
      <c r="P18" s="322"/>
      <c r="Q18" s="322"/>
      <c r="R18" s="322"/>
      <c r="S18" s="322"/>
      <c r="T18" s="322"/>
      <c r="U18" s="322"/>
      <c r="V18" s="322"/>
    </row>
    <row r="19" spans="1:22" ht="21" customHeight="1">
      <c r="B19" s="1718"/>
      <c r="C19" s="1718"/>
      <c r="D19" s="1719"/>
      <c r="E19" s="374"/>
      <c r="F19" s="611"/>
      <c r="G19" s="374"/>
      <c r="H19" s="612"/>
      <c r="I19" s="955"/>
      <c r="J19" s="374"/>
      <c r="K19" s="374"/>
      <c r="L19" s="614"/>
      <c r="P19" s="322"/>
      <c r="Q19" s="322"/>
      <c r="R19" s="322"/>
      <c r="S19" s="322"/>
      <c r="T19" s="322"/>
      <c r="U19" s="322"/>
      <c r="V19" s="322"/>
    </row>
    <row r="20" spans="1:22" ht="21" customHeight="1">
      <c r="B20" s="1718"/>
      <c r="C20" s="1718"/>
      <c r="D20" s="1719"/>
      <c r="E20" s="374"/>
      <c r="F20" s="611"/>
      <c r="G20" s="374"/>
      <c r="H20" s="612"/>
      <c r="I20" s="955"/>
      <c r="J20" s="374"/>
      <c r="K20" s="374"/>
      <c r="L20" s="614"/>
      <c r="P20" s="322"/>
      <c r="Q20" s="322"/>
      <c r="R20" s="322"/>
      <c r="S20" s="322"/>
      <c r="T20" s="322"/>
      <c r="U20" s="322"/>
      <c r="V20" s="322"/>
    </row>
    <row r="21" spans="1:22" ht="21" customHeight="1">
      <c r="B21" s="1718"/>
      <c r="C21" s="1718"/>
      <c r="D21" s="1719"/>
      <c r="E21" s="374"/>
      <c r="F21" s="611"/>
      <c r="G21" s="374"/>
      <c r="H21" s="615"/>
      <c r="I21" s="955"/>
      <c r="J21" s="374"/>
      <c r="K21" s="374"/>
      <c r="L21" s="614"/>
      <c r="P21" s="322"/>
      <c r="Q21" s="322"/>
      <c r="R21" s="322"/>
      <c r="S21" s="322"/>
      <c r="T21" s="322"/>
      <c r="U21" s="322"/>
      <c r="V21" s="322"/>
    </row>
    <row r="22" spans="1:22" ht="21" customHeight="1" thickBot="1">
      <c r="B22" s="1718"/>
      <c r="C22" s="1718"/>
      <c r="D22" s="1719"/>
      <c r="E22" s="616"/>
      <c r="F22" s="1465"/>
      <c r="G22" s="616"/>
      <c r="H22" s="1466"/>
      <c r="I22" s="956"/>
      <c r="J22" s="616"/>
      <c r="K22" s="616"/>
      <c r="L22" s="1467"/>
      <c r="P22" s="322"/>
      <c r="Q22" s="322"/>
      <c r="R22" s="322"/>
      <c r="S22" s="322"/>
      <c r="T22" s="322"/>
      <c r="U22" s="322"/>
      <c r="V22" s="322"/>
    </row>
    <row r="23" spans="1:22" ht="21" customHeight="1" thickTop="1" thickBot="1">
      <c r="B23" s="148"/>
      <c r="C23" s="27"/>
      <c r="D23" s="795" t="s">
        <v>3624</v>
      </c>
      <c r="E23" s="79">
        <f>SUM(E9:E22)</f>
        <v>5225700</v>
      </c>
      <c r="F23" s="14"/>
      <c r="G23" s="79">
        <f>SUM(G9:G22)</f>
        <v>5151000</v>
      </c>
      <c r="H23" s="79"/>
      <c r="I23" s="79"/>
      <c r="J23" s="79">
        <f>SUM(J9:J22)</f>
        <v>75950</v>
      </c>
      <c r="K23" s="79">
        <f>SUM(K9:K22)</f>
        <v>115897.5</v>
      </c>
      <c r="L23" s="19"/>
      <c r="M23" s="254"/>
      <c r="P23" s="322"/>
      <c r="Q23" s="322"/>
      <c r="R23" s="322"/>
      <c r="S23" s="322"/>
      <c r="T23" s="322"/>
      <c r="U23" s="322"/>
      <c r="V23" s="322"/>
    </row>
    <row r="24" spans="1:22" ht="13.5" customHeight="1" thickTop="1">
      <c r="B24" s="206" t="s">
        <v>38</v>
      </c>
      <c r="C24" s="207"/>
      <c r="D24" s="208"/>
      <c r="E24" s="286"/>
      <c r="F24" s="286"/>
      <c r="G24" s="286"/>
      <c r="H24" s="286"/>
      <c r="I24" s="286"/>
      <c r="J24" s="988" t="s">
        <v>690</v>
      </c>
      <c r="K24" s="988" t="s">
        <v>691</v>
      </c>
      <c r="L24" s="286"/>
      <c r="P24" s="322"/>
      <c r="Q24" s="322"/>
      <c r="R24" s="322"/>
      <c r="S24" s="322"/>
      <c r="T24" s="322"/>
      <c r="U24" s="322"/>
      <c r="V24" s="322"/>
    </row>
    <row r="25" spans="1:22" ht="13.5" customHeight="1">
      <c r="B25" s="206" t="s">
        <v>39</v>
      </c>
      <c r="C25" s="207"/>
      <c r="D25" s="208"/>
      <c r="E25" s="286"/>
      <c r="F25" s="286"/>
      <c r="G25" s="286"/>
      <c r="H25" s="286"/>
      <c r="I25" s="286"/>
      <c r="J25" s="286"/>
      <c r="K25" s="286"/>
      <c r="L25" s="286"/>
      <c r="P25" s="322"/>
      <c r="Q25" s="322"/>
      <c r="R25" s="322"/>
      <c r="S25" s="322"/>
      <c r="T25" s="322"/>
      <c r="U25" s="322"/>
      <c r="V25" s="322"/>
    </row>
    <row r="26" spans="1:22" ht="13.5" customHeight="1">
      <c r="B26" s="206" t="s">
        <v>40</v>
      </c>
      <c r="C26" s="207"/>
      <c r="D26" s="208"/>
      <c r="E26" s="286"/>
      <c r="F26" s="286"/>
      <c r="G26" s="286"/>
      <c r="H26" s="286"/>
      <c r="I26" s="286"/>
      <c r="J26" s="286"/>
      <c r="K26" s="286"/>
      <c r="L26" s="286"/>
      <c r="P26" s="322"/>
      <c r="Q26" s="322"/>
      <c r="R26" s="322"/>
      <c r="S26" s="322"/>
      <c r="T26" s="322"/>
      <c r="U26" s="322"/>
      <c r="V26" s="322"/>
    </row>
    <row r="27" spans="1:22" ht="13.5" customHeight="1">
      <c r="B27" s="206"/>
      <c r="C27" s="207"/>
      <c r="D27" s="209" t="str">
        <f>"All notes with an original date of issue of "&amp;TEXT('KEY INPUTS'!D33-3,"0")&amp;" or prior require one legally payable installment to be budgeted if it is contemplated that such notes will be renewed in "&amp;TEXT('KEY INPUTS'!D33,"0")&amp; " or"</f>
        <v>All notes with an original date of issue of 2017 or prior require one legally payable installment to be budgeted if it is contemplated that such notes will be renewed in 2020 or</v>
      </c>
      <c r="E27" s="286"/>
      <c r="F27" s="286"/>
      <c r="G27" s="286"/>
      <c r="H27" s="286"/>
      <c r="I27" s="286"/>
      <c r="J27" s="286"/>
      <c r="K27" s="286"/>
      <c r="L27" s="286"/>
    </row>
    <row r="28" spans="1:22" ht="13.5" customHeight="1">
      <c r="B28" s="206"/>
      <c r="C28" s="207"/>
      <c r="D28" s="209" t="s">
        <v>41</v>
      </c>
      <c r="E28" s="286"/>
      <c r="F28" s="286"/>
      <c r="G28" s="286"/>
      <c r="H28" s="286"/>
      <c r="I28" s="286"/>
      <c r="J28" s="151" t="s">
        <v>127</v>
      </c>
      <c r="K28" s="286"/>
      <c r="L28" s="286"/>
    </row>
    <row r="29" spans="1:22">
      <c r="B29" s="205" t="s">
        <v>42</v>
      </c>
      <c r="C29" s="205"/>
      <c r="D29" s="205"/>
      <c r="E29" s="322"/>
      <c r="F29" s="322"/>
      <c r="G29" s="322"/>
      <c r="H29" s="322"/>
      <c r="I29" s="322"/>
      <c r="J29" s="322"/>
      <c r="K29" s="322"/>
      <c r="L29" s="322"/>
    </row>
    <row r="32" spans="1:22">
      <c r="J32" s="228"/>
    </row>
    <row r="33" spans="7:11">
      <c r="G33" s="228"/>
      <c r="J33" s="228"/>
      <c r="K33" s="253"/>
    </row>
    <row r="35" spans="7:11">
      <c r="K35" s="312"/>
    </row>
  </sheetData>
  <sheetProtection algorithmName="SHA-512" hashValue="MSPT3y05CixY6oiR3pgXePfVDsDchz2RZVq0fyhT5nnaRNHrrv0rFJKWgggkoi7gN+I7Qi71s06SW1GIcPrs6w==" saltValue="zRONJDL9zqvTsFFf43WB+g=="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F18" sqref="F18"/>
      <pageMargins left="0.25" right="0.25" top="0.5" bottom="0.5" header="0.25" footer="0.25"/>
      <pageSetup paperSize="5" orientation="landscape" r:id="rId2"/>
      <headerFooter alignWithMargins="0"/>
    </customSheetView>
    <customSheetView guid="{A64E4C9E-A3DA-4AAA-8607-F524450B9436}">
      <selection activeCell="F18" sqref="F18"/>
      <pageMargins left="0.25" right="0.25" top="0.5" bottom="0.5" header="0.25" footer="0.25"/>
      <pageSetup paperSize="5" orientation="landscape" r:id="rId3"/>
      <headerFooter alignWithMargins="0"/>
    </customSheetView>
    <customSheetView guid="{AB4FBD91-4533-473A-9702-569FF6402073}" topLeftCell="A4">
      <selection activeCell="M15" sqref="M15"/>
      <pageMargins left="0.25" right="0.25" top="0.5" bottom="0.5" header="0.25" footer="0.25"/>
      <pageSetup paperSize="5" orientation="landscape" r:id="rId4"/>
      <headerFooter alignWithMargins="0"/>
    </customSheetView>
  </customSheetViews>
  <mergeCells count="19">
    <mergeCell ref="B2:L2"/>
    <mergeCell ref="B3:L3"/>
    <mergeCell ref="A15:A17"/>
    <mergeCell ref="C6:D6"/>
    <mergeCell ref="J5:K6"/>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s>
  <phoneticPr fontId="0" type="noConversion"/>
  <pageMargins left="0.25" right="0.25" top="0.5" bottom="0.5" header="0.25" footer="0.25"/>
  <pageSetup paperSize="5" scale="60" orientation="portrait" r:id="rId5"/>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5">
    <pageSetUpPr fitToPage="1"/>
  </sheetPr>
  <dimension ref="A1:P35"/>
  <sheetViews>
    <sheetView workbookViewId="0">
      <selection activeCell="B3" sqref="B3:O3"/>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2.88671875" style="322" bestFit="1" customWidth="1"/>
    <col min="14" max="16384" width="9.109375" style="322"/>
  </cols>
  <sheetData>
    <row r="1" spans="1:16">
      <c r="B1" s="853"/>
      <c r="C1" s="853"/>
      <c r="D1" s="853"/>
      <c r="E1" s="853"/>
      <c r="F1" s="853"/>
      <c r="G1" s="853"/>
      <c r="H1" s="853"/>
      <c r="I1" s="853"/>
      <c r="J1" s="853"/>
      <c r="K1" s="853"/>
      <c r="L1" s="853"/>
    </row>
    <row r="2" spans="1:16" ht="20.399999999999999">
      <c r="B2" s="1596" t="s">
        <v>172</v>
      </c>
      <c r="C2" s="1596"/>
      <c r="D2" s="1596"/>
      <c r="E2" s="1596"/>
      <c r="F2" s="1596"/>
      <c r="G2" s="1596"/>
      <c r="H2" s="1596"/>
      <c r="I2" s="1596"/>
      <c r="J2" s="1596"/>
      <c r="K2" s="1596"/>
      <c r="L2" s="1596"/>
    </row>
    <row r="3" spans="1:16" ht="21" thickBot="1">
      <c r="B3" s="1596"/>
      <c r="C3" s="1596"/>
      <c r="D3" s="1596"/>
      <c r="E3" s="1596"/>
      <c r="F3" s="1596"/>
      <c r="G3" s="1596"/>
      <c r="H3" s="1596"/>
      <c r="I3" s="1596"/>
      <c r="J3" s="1596"/>
      <c r="K3" s="1596"/>
      <c r="L3" s="1596"/>
    </row>
    <row r="4" spans="1:16" ht="13.5" customHeight="1" thickTop="1">
      <c r="B4" s="886"/>
      <c r="C4" s="886"/>
      <c r="D4" s="886"/>
      <c r="E4" s="887"/>
      <c r="F4" s="887"/>
      <c r="G4" s="887"/>
      <c r="H4" s="887"/>
      <c r="I4" s="887"/>
      <c r="J4" s="886"/>
      <c r="K4" s="886"/>
      <c r="L4" s="863"/>
    </row>
    <row r="5" spans="1:16" ht="13.5" customHeight="1">
      <c r="B5" s="853"/>
      <c r="C5" s="853"/>
      <c r="D5" s="853"/>
      <c r="E5" s="889" t="s">
        <v>176</v>
      </c>
      <c r="F5" s="894" t="s">
        <v>176</v>
      </c>
      <c r="G5" s="894" t="s">
        <v>533</v>
      </c>
      <c r="H5" s="894" t="s">
        <v>18</v>
      </c>
      <c r="I5" s="894" t="s">
        <v>684</v>
      </c>
      <c r="J5" s="1728" t="str">
        <f>TEXT('KEY INPUTS'!D33,"0")&amp;" Budget Requirements"</f>
        <v>2020 Budget Requirements</v>
      </c>
      <c r="K5" s="1729"/>
      <c r="L5" s="864" t="s">
        <v>685</v>
      </c>
    </row>
    <row r="6" spans="1:16" ht="13.5" customHeight="1">
      <c r="B6" s="853"/>
      <c r="C6" s="1597" t="s">
        <v>175</v>
      </c>
      <c r="D6" s="1598"/>
      <c r="E6" s="889" t="s">
        <v>533</v>
      </c>
      <c r="F6" s="894" t="s">
        <v>177</v>
      </c>
      <c r="G6" s="894" t="s">
        <v>681</v>
      </c>
      <c r="H6" s="894" t="s">
        <v>682</v>
      </c>
      <c r="I6" s="894" t="s">
        <v>682</v>
      </c>
      <c r="J6" s="1730"/>
      <c r="K6" s="1731"/>
      <c r="L6" s="864" t="s">
        <v>688</v>
      </c>
    </row>
    <row r="7" spans="1:16" ht="13.5" customHeight="1">
      <c r="B7" s="853"/>
      <c r="C7" s="853"/>
      <c r="D7" s="853"/>
      <c r="E7" s="889" t="s">
        <v>113</v>
      </c>
      <c r="F7" s="889" t="s">
        <v>178</v>
      </c>
      <c r="G7" s="889" t="s">
        <v>257</v>
      </c>
      <c r="H7" s="889" t="s">
        <v>683</v>
      </c>
      <c r="I7" s="889" t="s">
        <v>685</v>
      </c>
      <c r="J7" s="889" t="s">
        <v>142</v>
      </c>
      <c r="K7" s="889" t="s">
        <v>686</v>
      </c>
      <c r="L7" s="864" t="s">
        <v>689</v>
      </c>
    </row>
    <row r="8" spans="1:16" ht="13.5" customHeight="1" thickBot="1">
      <c r="B8" s="895"/>
      <c r="C8" s="895"/>
      <c r="D8" s="895"/>
      <c r="E8" s="896"/>
      <c r="F8" s="896"/>
      <c r="G8" s="1093" t="str">
        <f>'KEY INPUTS'!D46</f>
        <v>Dec. 31, 2019</v>
      </c>
      <c r="H8" s="896"/>
      <c r="I8" s="896"/>
      <c r="J8" s="897"/>
      <c r="K8" s="1094" t="s">
        <v>687</v>
      </c>
      <c r="L8" s="866"/>
    </row>
    <row r="9" spans="1:16" ht="21" customHeight="1" thickTop="1">
      <c r="B9" s="1048"/>
      <c r="C9" s="843" t="s">
        <v>3546</v>
      </c>
      <c r="D9" s="1028"/>
      <c r="E9" s="842">
        <f>+'33-Note Debt Service'!E23</f>
        <v>5225700</v>
      </c>
      <c r="F9" s="1095"/>
      <c r="G9" s="842">
        <f>+'33-Note Debt Service'!G23</f>
        <v>5151000</v>
      </c>
      <c r="H9" s="1096"/>
      <c r="I9" s="1097"/>
      <c r="J9" s="1098">
        <f>+'33-Note Debt Service'!J23</f>
        <v>75950</v>
      </c>
      <c r="K9" s="842">
        <f>+'33-Note Debt Service'!K23</f>
        <v>115897.5</v>
      </c>
      <c r="L9" s="1099"/>
      <c r="M9" s="325"/>
    </row>
    <row r="10" spans="1:16" ht="21" customHeight="1">
      <c r="B10" s="87"/>
      <c r="C10" s="1003"/>
      <c r="D10" s="1004"/>
      <c r="E10" s="374"/>
      <c r="F10" s="611"/>
      <c r="G10" s="374"/>
      <c r="H10" s="612"/>
      <c r="I10" s="955"/>
      <c r="J10" s="613"/>
      <c r="K10" s="374"/>
      <c r="L10" s="614"/>
      <c r="M10" s="325"/>
    </row>
    <row r="11" spans="1:16" ht="21" customHeight="1">
      <c r="B11" s="87"/>
      <c r="C11" s="1003"/>
      <c r="D11" s="1004"/>
      <c r="E11" s="374"/>
      <c r="F11" s="611"/>
      <c r="G11" s="374"/>
      <c r="H11" s="612"/>
      <c r="I11" s="955"/>
      <c r="J11" s="613"/>
      <c r="K11" s="374"/>
      <c r="L11" s="614"/>
      <c r="M11" s="325"/>
    </row>
    <row r="12" spans="1:16" ht="21" customHeight="1">
      <c r="B12" s="87"/>
      <c r="C12" s="1003"/>
      <c r="D12" s="1004"/>
      <c r="E12" s="374"/>
      <c r="F12" s="611"/>
      <c r="G12" s="374"/>
      <c r="H12" s="612"/>
      <c r="I12" s="955"/>
      <c r="J12" s="613"/>
      <c r="K12" s="374"/>
      <c r="L12" s="614"/>
      <c r="M12" s="325"/>
      <c r="P12" s="377"/>
    </row>
    <row r="13" spans="1:16" ht="21" customHeight="1">
      <c r="B13" s="87"/>
      <c r="C13" s="1003"/>
      <c r="D13" s="1004"/>
      <c r="E13" s="374"/>
      <c r="F13" s="611"/>
      <c r="G13" s="374"/>
      <c r="H13" s="612"/>
      <c r="I13" s="955"/>
      <c r="J13" s="613"/>
      <c r="K13" s="374"/>
      <c r="L13" s="614"/>
      <c r="M13" s="325"/>
    </row>
    <row r="14" spans="1:16" ht="21" customHeight="1">
      <c r="B14" s="87"/>
      <c r="C14" s="1003"/>
      <c r="D14" s="1004"/>
      <c r="E14" s="374"/>
      <c r="F14" s="611"/>
      <c r="G14" s="374"/>
      <c r="H14" s="612"/>
      <c r="I14" s="955"/>
      <c r="J14" s="374"/>
      <c r="K14" s="374"/>
      <c r="L14" s="614"/>
    </row>
    <row r="15" spans="1:16" ht="21" customHeight="1">
      <c r="A15" s="1577" t="s">
        <v>3623</v>
      </c>
      <c r="B15" s="87"/>
      <c r="C15" s="1003"/>
      <c r="D15" s="1004"/>
      <c r="E15" s="374"/>
      <c r="F15" s="611"/>
      <c r="G15" s="374"/>
      <c r="H15" s="612"/>
      <c r="I15" s="955"/>
      <c r="J15" s="374"/>
      <c r="K15" s="374"/>
      <c r="L15" s="614"/>
    </row>
    <row r="16" spans="1:16" ht="21" customHeight="1">
      <c r="A16" s="1577"/>
      <c r="B16" s="87"/>
      <c r="C16" s="1003"/>
      <c r="D16" s="1004"/>
      <c r="E16" s="374"/>
      <c r="F16" s="611"/>
      <c r="G16" s="374"/>
      <c r="H16" s="612"/>
      <c r="I16" s="955"/>
      <c r="J16" s="374"/>
      <c r="K16" s="374"/>
      <c r="L16" s="614"/>
    </row>
    <row r="17" spans="1:13" ht="21" customHeight="1">
      <c r="A17" s="1577"/>
      <c r="B17" s="87"/>
      <c r="C17" s="1003"/>
      <c r="D17" s="1004"/>
      <c r="E17" s="374"/>
      <c r="F17" s="611"/>
      <c r="G17" s="374"/>
      <c r="H17" s="612"/>
      <c r="I17" s="955"/>
      <c r="J17" s="374"/>
      <c r="K17" s="374"/>
      <c r="L17" s="614"/>
    </row>
    <row r="18" spans="1:13" ht="21" customHeight="1">
      <c r="A18" s="138"/>
      <c r="B18" s="87"/>
      <c r="C18" s="1003"/>
      <c r="D18" s="1004"/>
      <c r="E18" s="374"/>
      <c r="F18" s="611"/>
      <c r="G18" s="374"/>
      <c r="H18" s="612"/>
      <c r="I18" s="955"/>
      <c r="J18" s="374"/>
      <c r="K18" s="374"/>
      <c r="L18" s="614"/>
    </row>
    <row r="19" spans="1:13" ht="21" customHeight="1">
      <c r="B19" s="87"/>
      <c r="C19" s="1003"/>
      <c r="D19" s="1004"/>
      <c r="E19" s="374"/>
      <c r="F19" s="611"/>
      <c r="G19" s="374"/>
      <c r="H19" s="612"/>
      <c r="I19" s="955"/>
      <c r="J19" s="374"/>
      <c r="K19" s="374"/>
      <c r="L19" s="614"/>
    </row>
    <row r="20" spans="1:13" ht="21" customHeight="1">
      <c r="B20" s="87"/>
      <c r="C20" s="1003"/>
      <c r="D20" s="1004"/>
      <c r="E20" s="374"/>
      <c r="F20" s="611"/>
      <c r="G20" s="374"/>
      <c r="H20" s="612"/>
      <c r="I20" s="955"/>
      <c r="J20" s="374"/>
      <c r="K20" s="374"/>
      <c r="L20" s="614"/>
    </row>
    <row r="21" spans="1:13" ht="21" customHeight="1">
      <c r="B21" s="87"/>
      <c r="C21" s="1003"/>
      <c r="D21" s="1004"/>
      <c r="E21" s="374"/>
      <c r="F21" s="611"/>
      <c r="G21" s="374"/>
      <c r="H21" s="615"/>
      <c r="I21" s="955"/>
      <c r="J21" s="374"/>
      <c r="K21" s="374"/>
      <c r="L21" s="614"/>
    </row>
    <row r="22" spans="1:13" ht="21" customHeight="1" thickBot="1">
      <c r="B22" s="87"/>
      <c r="C22" s="1003"/>
      <c r="D22" s="1004"/>
      <c r="E22" s="616"/>
      <c r="F22" s="1465"/>
      <c r="G22" s="616"/>
      <c r="H22" s="1466"/>
      <c r="I22" s="956"/>
      <c r="J22" s="616"/>
      <c r="K22" s="616"/>
      <c r="L22" s="1467"/>
    </row>
    <row r="23" spans="1:13" ht="21" customHeight="1" thickTop="1" thickBot="1">
      <c r="B23" s="148"/>
      <c r="C23" s="27"/>
      <c r="D23" s="795" t="s">
        <v>3625</v>
      </c>
      <c r="E23" s="79">
        <f>SUM(E9:E22)</f>
        <v>5225700</v>
      </c>
      <c r="F23" s="14"/>
      <c r="G23" s="79">
        <f>SUM(G9:G22)</f>
        <v>5151000</v>
      </c>
      <c r="H23" s="79"/>
      <c r="I23" s="79"/>
      <c r="J23" s="79">
        <f>SUM(J9:J22)</f>
        <v>75950</v>
      </c>
      <c r="K23" s="79">
        <f>SUM(K9:K22)</f>
        <v>115897.5</v>
      </c>
      <c r="L23" s="19"/>
      <c r="M23" s="254"/>
    </row>
    <row r="24" spans="1:13" ht="13.5" customHeight="1" thickTop="1">
      <c r="B24" s="206" t="s">
        <v>38</v>
      </c>
      <c r="C24" s="207"/>
      <c r="D24" s="208"/>
      <c r="E24" s="286"/>
      <c r="F24" s="286"/>
      <c r="G24" s="286"/>
      <c r="H24" s="286"/>
      <c r="I24" s="286"/>
      <c r="J24" s="988" t="s">
        <v>690</v>
      </c>
      <c r="K24" s="988" t="s">
        <v>691</v>
      </c>
      <c r="L24" s="286"/>
    </row>
    <row r="25" spans="1:13" ht="13.5" customHeight="1">
      <c r="B25" s="206" t="s">
        <v>39</v>
      </c>
      <c r="C25" s="207"/>
      <c r="D25" s="208"/>
      <c r="E25" s="286"/>
      <c r="F25" s="286"/>
      <c r="G25" s="286"/>
      <c r="H25" s="286"/>
      <c r="I25" s="286"/>
      <c r="J25" s="286"/>
      <c r="K25" s="286"/>
      <c r="L25" s="286"/>
    </row>
    <row r="26" spans="1:13" ht="13.5" customHeight="1">
      <c r="B26" s="206" t="s">
        <v>40</v>
      </c>
      <c r="C26" s="207"/>
      <c r="D26" s="208"/>
      <c r="E26" s="286"/>
      <c r="F26" s="286"/>
      <c r="G26" s="286"/>
      <c r="H26" s="286"/>
      <c r="I26" s="286"/>
      <c r="J26" s="286"/>
      <c r="K26" s="286"/>
      <c r="L26" s="286"/>
    </row>
    <row r="27" spans="1:13" ht="13.5" customHeight="1">
      <c r="B27" s="206"/>
      <c r="C27" s="207"/>
      <c r="D27" s="209" t="str">
        <f>"All notes with an original date of issue of "&amp;TEXT('KEY INPUTS'!D33-3,"0")&amp;" or prior require one legally payable installment to be budgeted if it is contemplated that such notes will be renewed in "&amp;TEXT('KEY INPUTS'!D33,"0")&amp; " or"</f>
        <v>All notes with an original date of issue of 2017 or prior require one legally payable installment to be budgeted if it is contemplated that such notes will be renewed in 2020 or</v>
      </c>
      <c r="E27" s="286"/>
      <c r="F27" s="286"/>
      <c r="G27" s="286"/>
      <c r="H27" s="286"/>
      <c r="I27" s="286"/>
      <c r="J27" s="286"/>
      <c r="K27" s="286"/>
      <c r="L27" s="286"/>
    </row>
    <row r="28" spans="1:13" ht="13.5" customHeight="1">
      <c r="B28" s="206"/>
      <c r="C28" s="207"/>
      <c r="D28" s="209" t="s">
        <v>41</v>
      </c>
      <c r="E28" s="286"/>
      <c r="F28" s="286"/>
      <c r="G28" s="286"/>
      <c r="H28" s="286"/>
      <c r="I28" s="286"/>
      <c r="J28" s="151" t="s">
        <v>127</v>
      </c>
      <c r="K28" s="286"/>
      <c r="L28" s="286"/>
    </row>
    <row r="29" spans="1:13">
      <c r="B29" s="205" t="s">
        <v>42</v>
      </c>
      <c r="C29" s="205"/>
      <c r="D29" s="205"/>
    </row>
    <row r="32" spans="1:13">
      <c r="J32" s="325"/>
    </row>
    <row r="33" spans="7:11">
      <c r="G33" s="325"/>
      <c r="J33" s="325"/>
      <c r="K33" s="253"/>
    </row>
    <row r="35" spans="7:11">
      <c r="K35" s="325"/>
    </row>
  </sheetData>
  <sheetProtection algorithmName="SHA-512" hashValue="5V4nLEOcsphFy6Z3VsUfYKQ/EckMUOJ9iw2VRALp13zM+xk0A2j1eFabcpbk3qhnovxo663YaG/JVHgbaeV+rw==" saltValue="S8UhYiCVS5YN/W2vnN5vYw=="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5">
    <mergeCell ref="B2:L2"/>
    <mergeCell ref="B3:L3"/>
    <mergeCell ref="J5:K6"/>
    <mergeCell ref="C6:D6"/>
    <mergeCell ref="A15:A17"/>
  </mergeCells>
  <pageMargins left="0.25" right="0.25" top="0.5" bottom="0.5" header="0.25" footer="0.25"/>
  <pageSetup paperSize="5" scale="60" orientation="portrait" r:id="rId5"/>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6">
    <pageSetUpPr fitToPage="1"/>
  </sheetPr>
  <dimension ref="A1:P35"/>
  <sheetViews>
    <sheetView workbookViewId="0">
      <selection activeCell="B3" sqref="B3:O3"/>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2.88671875" style="322" bestFit="1" customWidth="1"/>
    <col min="14" max="16384" width="9.109375" style="322"/>
  </cols>
  <sheetData>
    <row r="1" spans="1:16">
      <c r="B1" s="853"/>
      <c r="C1" s="853"/>
      <c r="D1" s="853"/>
      <c r="E1" s="853"/>
      <c r="F1" s="853"/>
      <c r="G1" s="853"/>
      <c r="H1" s="853"/>
      <c r="I1" s="853"/>
      <c r="J1" s="853"/>
      <c r="K1" s="853"/>
      <c r="L1" s="853"/>
    </row>
    <row r="2" spans="1:16" ht="20.399999999999999">
      <c r="B2" s="1596" t="s">
        <v>172</v>
      </c>
      <c r="C2" s="1596"/>
      <c r="D2" s="1596"/>
      <c r="E2" s="1596"/>
      <c r="F2" s="1596"/>
      <c r="G2" s="1596"/>
      <c r="H2" s="1596"/>
      <c r="I2" s="1596"/>
      <c r="J2" s="1596"/>
      <c r="K2" s="1596"/>
      <c r="L2" s="1596"/>
    </row>
    <row r="3" spans="1:16" ht="21" thickBot="1">
      <c r="B3" s="1596"/>
      <c r="C3" s="1596"/>
      <c r="D3" s="1596"/>
      <c r="E3" s="1596"/>
      <c r="F3" s="1596"/>
      <c r="G3" s="1596"/>
      <c r="H3" s="1596"/>
      <c r="I3" s="1596"/>
      <c r="J3" s="1596"/>
      <c r="K3" s="1596"/>
      <c r="L3" s="1596"/>
    </row>
    <row r="4" spans="1:16" ht="13.5" customHeight="1" thickTop="1">
      <c r="B4" s="886"/>
      <c r="C4" s="886"/>
      <c r="D4" s="886"/>
      <c r="E4" s="887"/>
      <c r="F4" s="887"/>
      <c r="G4" s="887"/>
      <c r="H4" s="887"/>
      <c r="I4" s="887"/>
      <c r="J4" s="886"/>
      <c r="K4" s="886"/>
      <c r="L4" s="863"/>
    </row>
    <row r="5" spans="1:16" ht="13.5" customHeight="1">
      <c r="B5" s="853"/>
      <c r="C5" s="853"/>
      <c r="D5" s="853"/>
      <c r="E5" s="889" t="s">
        <v>176</v>
      </c>
      <c r="F5" s="894" t="s">
        <v>176</v>
      </c>
      <c r="G5" s="894" t="s">
        <v>533</v>
      </c>
      <c r="H5" s="894" t="s">
        <v>18</v>
      </c>
      <c r="I5" s="894" t="s">
        <v>684</v>
      </c>
      <c r="J5" s="1728" t="str">
        <f>TEXT('KEY INPUTS'!D33,"0")&amp;" Budget Requirements"</f>
        <v>2020 Budget Requirements</v>
      </c>
      <c r="K5" s="1729"/>
      <c r="L5" s="864" t="s">
        <v>685</v>
      </c>
    </row>
    <row r="6" spans="1:16" ht="13.5" customHeight="1">
      <c r="B6" s="853"/>
      <c r="C6" s="1597" t="s">
        <v>175</v>
      </c>
      <c r="D6" s="1598"/>
      <c r="E6" s="889" t="s">
        <v>533</v>
      </c>
      <c r="F6" s="894" t="s">
        <v>177</v>
      </c>
      <c r="G6" s="894" t="s">
        <v>681</v>
      </c>
      <c r="H6" s="894" t="s">
        <v>682</v>
      </c>
      <c r="I6" s="894" t="s">
        <v>682</v>
      </c>
      <c r="J6" s="1730"/>
      <c r="K6" s="1731"/>
      <c r="L6" s="864" t="s">
        <v>688</v>
      </c>
    </row>
    <row r="7" spans="1:16" ht="13.5" customHeight="1">
      <c r="B7" s="853"/>
      <c r="C7" s="853"/>
      <c r="D7" s="853"/>
      <c r="E7" s="889" t="s">
        <v>113</v>
      </c>
      <c r="F7" s="889" t="s">
        <v>178</v>
      </c>
      <c r="G7" s="889" t="s">
        <v>257</v>
      </c>
      <c r="H7" s="889" t="s">
        <v>683</v>
      </c>
      <c r="I7" s="889" t="s">
        <v>685</v>
      </c>
      <c r="J7" s="889" t="s">
        <v>142</v>
      </c>
      <c r="K7" s="889" t="s">
        <v>686</v>
      </c>
      <c r="L7" s="864" t="s">
        <v>689</v>
      </c>
    </row>
    <row r="8" spans="1:16" ht="13.5" customHeight="1" thickBot="1">
      <c r="B8" s="895"/>
      <c r="C8" s="895"/>
      <c r="D8" s="895"/>
      <c r="E8" s="896"/>
      <c r="F8" s="896"/>
      <c r="G8" s="1093" t="str">
        <f>'KEY INPUTS'!D46</f>
        <v>Dec. 31, 2019</v>
      </c>
      <c r="H8" s="896"/>
      <c r="I8" s="896"/>
      <c r="J8" s="897"/>
      <c r="K8" s="1094" t="s">
        <v>687</v>
      </c>
      <c r="L8" s="866"/>
    </row>
    <row r="9" spans="1:16" ht="21" customHeight="1" thickTop="1">
      <c r="B9" s="1048"/>
      <c r="C9" s="843" t="s">
        <v>3546</v>
      </c>
      <c r="D9" s="1028"/>
      <c r="E9" s="842">
        <f>+'33.1-Note Debt Service'!E23</f>
        <v>5225700</v>
      </c>
      <c r="F9" s="1095"/>
      <c r="G9" s="842">
        <f>+'33.1-Note Debt Service'!G23</f>
        <v>5151000</v>
      </c>
      <c r="H9" s="1096"/>
      <c r="I9" s="1097"/>
      <c r="J9" s="1098">
        <f>+'33.1-Note Debt Service'!J23</f>
        <v>75950</v>
      </c>
      <c r="K9" s="842">
        <f>+'33.1-Note Debt Service'!K23</f>
        <v>115897.5</v>
      </c>
      <c r="L9" s="1099"/>
      <c r="M9" s="325"/>
    </row>
    <row r="10" spans="1:16" ht="21" customHeight="1">
      <c r="B10" s="87"/>
      <c r="C10" s="1563"/>
      <c r="D10" s="1564"/>
      <c r="E10" s="374"/>
      <c r="F10" s="611"/>
      <c r="G10" s="374"/>
      <c r="H10" s="612"/>
      <c r="I10" s="955"/>
      <c r="J10" s="613"/>
      <c r="K10" s="374"/>
      <c r="L10" s="614"/>
      <c r="M10" s="325"/>
    </row>
    <row r="11" spans="1:16" ht="21" customHeight="1">
      <c r="B11" s="87"/>
      <c r="C11" s="1563"/>
      <c r="D11" s="1564"/>
      <c r="E11" s="374"/>
      <c r="F11" s="611"/>
      <c r="G11" s="374"/>
      <c r="H11" s="612"/>
      <c r="I11" s="955"/>
      <c r="J11" s="613"/>
      <c r="K11" s="374"/>
      <c r="L11" s="614"/>
      <c r="M11" s="325"/>
    </row>
    <row r="12" spans="1:16" ht="21" customHeight="1">
      <c r="B12" s="87"/>
      <c r="C12" s="1563"/>
      <c r="D12" s="1564"/>
      <c r="E12" s="374"/>
      <c r="F12" s="611"/>
      <c r="G12" s="374"/>
      <c r="H12" s="612"/>
      <c r="I12" s="955"/>
      <c r="J12" s="613"/>
      <c r="K12" s="374"/>
      <c r="L12" s="614"/>
      <c r="M12" s="325"/>
      <c r="P12" s="377"/>
    </row>
    <row r="13" spans="1:16" ht="21" customHeight="1">
      <c r="B13" s="87"/>
      <c r="C13" s="1563"/>
      <c r="D13" s="1564"/>
      <c r="E13" s="374"/>
      <c r="F13" s="611"/>
      <c r="G13" s="374"/>
      <c r="H13" s="612"/>
      <c r="I13" s="955"/>
      <c r="J13" s="613"/>
      <c r="K13" s="374"/>
      <c r="L13" s="614"/>
      <c r="M13" s="325"/>
    </row>
    <row r="14" spans="1:16" ht="21" customHeight="1">
      <c r="B14" s="87"/>
      <c r="C14" s="1563"/>
      <c r="D14" s="1564"/>
      <c r="E14" s="374"/>
      <c r="F14" s="611"/>
      <c r="G14" s="374"/>
      <c r="H14" s="612"/>
      <c r="I14" s="955"/>
      <c r="J14" s="374"/>
      <c r="K14" s="374"/>
      <c r="L14" s="614"/>
    </row>
    <row r="15" spans="1:16" ht="21" customHeight="1">
      <c r="A15" s="1577" t="s">
        <v>3626</v>
      </c>
      <c r="B15" s="87"/>
      <c r="C15" s="1563"/>
      <c r="D15" s="1564"/>
      <c r="E15" s="374"/>
      <c r="F15" s="611"/>
      <c r="G15" s="374"/>
      <c r="H15" s="612"/>
      <c r="I15" s="955"/>
      <c r="J15" s="374"/>
      <c r="K15" s="374"/>
      <c r="L15" s="614"/>
    </row>
    <row r="16" spans="1:16" ht="21" customHeight="1">
      <c r="A16" s="1577"/>
      <c r="B16" s="87"/>
      <c r="C16" s="1563"/>
      <c r="D16" s="1564"/>
      <c r="E16" s="374"/>
      <c r="F16" s="611"/>
      <c r="G16" s="374"/>
      <c r="H16" s="612"/>
      <c r="I16" s="955"/>
      <c r="J16" s="374"/>
      <c r="K16" s="374"/>
      <c r="L16" s="614"/>
    </row>
    <row r="17" spans="1:13" ht="21" customHeight="1">
      <c r="A17" s="1577"/>
      <c r="B17" s="87"/>
      <c r="C17" s="1563"/>
      <c r="D17" s="1564"/>
      <c r="E17" s="374"/>
      <c r="F17" s="611"/>
      <c r="G17" s="374"/>
      <c r="H17" s="612"/>
      <c r="I17" s="955"/>
      <c r="J17" s="374"/>
      <c r="K17" s="374"/>
      <c r="L17" s="614"/>
    </row>
    <row r="18" spans="1:13" ht="21" customHeight="1">
      <c r="A18" s="138"/>
      <c r="B18" s="87"/>
      <c r="C18" s="1563"/>
      <c r="D18" s="1564"/>
      <c r="E18" s="374"/>
      <c r="F18" s="611"/>
      <c r="G18" s="374"/>
      <c r="H18" s="612"/>
      <c r="I18" s="955"/>
      <c r="J18" s="374"/>
      <c r="K18" s="374"/>
      <c r="L18" s="614"/>
    </row>
    <row r="19" spans="1:13" ht="21" customHeight="1">
      <c r="B19" s="87"/>
      <c r="C19" s="1563"/>
      <c r="D19" s="1564"/>
      <c r="E19" s="374"/>
      <c r="F19" s="611"/>
      <c r="G19" s="374"/>
      <c r="H19" s="612"/>
      <c r="I19" s="955"/>
      <c r="J19" s="374"/>
      <c r="K19" s="374"/>
      <c r="L19" s="614"/>
    </row>
    <row r="20" spans="1:13" ht="21" customHeight="1">
      <c r="B20" s="87"/>
      <c r="C20" s="1563"/>
      <c r="D20" s="1564"/>
      <c r="E20" s="374"/>
      <c r="F20" s="611"/>
      <c r="G20" s="374"/>
      <c r="H20" s="612"/>
      <c r="I20" s="955"/>
      <c r="J20" s="374"/>
      <c r="K20" s="374"/>
      <c r="L20" s="614"/>
    </row>
    <row r="21" spans="1:13" ht="21" customHeight="1">
      <c r="B21" s="87"/>
      <c r="C21" s="1563"/>
      <c r="D21" s="1564"/>
      <c r="E21" s="374"/>
      <c r="F21" s="611"/>
      <c r="G21" s="374"/>
      <c r="H21" s="615"/>
      <c r="I21" s="955"/>
      <c r="J21" s="374"/>
      <c r="K21" s="374"/>
      <c r="L21" s="614"/>
    </row>
    <row r="22" spans="1:13" ht="21" customHeight="1" thickBot="1">
      <c r="B22" s="87"/>
      <c r="C22" s="1563"/>
      <c r="D22" s="1564"/>
      <c r="E22" s="616"/>
      <c r="F22" s="1465"/>
      <c r="G22" s="616"/>
      <c r="H22" s="1466"/>
      <c r="I22" s="956"/>
      <c r="J22" s="616"/>
      <c r="K22" s="616"/>
      <c r="L22" s="1467"/>
    </row>
    <row r="23" spans="1:13" ht="21" customHeight="1" thickTop="1" thickBot="1">
      <c r="B23" s="148"/>
      <c r="C23" s="27"/>
      <c r="D23" s="795" t="s">
        <v>3625</v>
      </c>
      <c r="E23" s="79">
        <f>SUM(E9:E22)</f>
        <v>5225700</v>
      </c>
      <c r="F23" s="14"/>
      <c r="G23" s="79">
        <f>SUM(G9:G22)</f>
        <v>5151000</v>
      </c>
      <c r="H23" s="79"/>
      <c r="I23" s="79"/>
      <c r="J23" s="79">
        <f>SUM(J9:J22)</f>
        <v>75950</v>
      </c>
      <c r="K23" s="79">
        <f>SUM(K9:K22)</f>
        <v>115897.5</v>
      </c>
      <c r="L23" s="19"/>
      <c r="M23" s="254"/>
    </row>
    <row r="24" spans="1:13" ht="13.5" customHeight="1" thickTop="1">
      <c r="B24" s="206" t="s">
        <v>38</v>
      </c>
      <c r="C24" s="207"/>
      <c r="D24" s="208"/>
      <c r="E24" s="286"/>
      <c r="F24" s="286"/>
      <c r="G24" s="286"/>
      <c r="H24" s="286"/>
      <c r="I24" s="286"/>
      <c r="J24" s="988" t="s">
        <v>690</v>
      </c>
      <c r="K24" s="988" t="s">
        <v>691</v>
      </c>
      <c r="L24" s="286"/>
    </row>
    <row r="25" spans="1:13" ht="13.5" customHeight="1">
      <c r="B25" s="206" t="s">
        <v>39</v>
      </c>
      <c r="C25" s="207"/>
      <c r="D25" s="208"/>
      <c r="E25" s="286"/>
      <c r="F25" s="286"/>
      <c r="G25" s="286"/>
      <c r="H25" s="286"/>
      <c r="I25" s="286"/>
      <c r="J25" s="286"/>
      <c r="K25" s="286"/>
      <c r="L25" s="286"/>
    </row>
    <row r="26" spans="1:13" ht="13.5" customHeight="1">
      <c r="B26" s="206" t="s">
        <v>40</v>
      </c>
      <c r="C26" s="207"/>
      <c r="D26" s="208"/>
      <c r="E26" s="286"/>
      <c r="F26" s="286"/>
      <c r="G26" s="286"/>
      <c r="H26" s="286"/>
      <c r="I26" s="286"/>
      <c r="J26" s="286"/>
      <c r="K26" s="286"/>
      <c r="L26" s="286"/>
    </row>
    <row r="27" spans="1:13" ht="13.5" customHeight="1">
      <c r="B27" s="206"/>
      <c r="C27" s="207"/>
      <c r="D27" s="209" t="str">
        <f>"All notes with an original date of issue of "&amp;TEXT('KEY INPUTS'!D33-3,"0")&amp;" or prior require one legally payable installment to be budgeted if it is contemplated that such notes will be renewed in "&amp;TEXT('KEY INPUTS'!D33,"0")&amp; " or"</f>
        <v>All notes with an original date of issue of 2017 or prior require one legally payable installment to be budgeted if it is contemplated that such notes will be renewed in 2020 or</v>
      </c>
      <c r="E27" s="286"/>
      <c r="F27" s="286"/>
      <c r="G27" s="286"/>
      <c r="H27" s="286"/>
      <c r="I27" s="286"/>
      <c r="J27" s="286"/>
      <c r="K27" s="286"/>
      <c r="L27" s="286"/>
    </row>
    <row r="28" spans="1:13" ht="13.5" customHeight="1">
      <c r="B28" s="206"/>
      <c r="C28" s="207"/>
      <c r="D28" s="209" t="s">
        <v>41</v>
      </c>
      <c r="E28" s="286"/>
      <c r="F28" s="286"/>
      <c r="G28" s="286"/>
      <c r="H28" s="286"/>
      <c r="I28" s="286"/>
      <c r="J28" s="151" t="s">
        <v>127</v>
      </c>
      <c r="K28" s="286"/>
      <c r="L28" s="286"/>
    </row>
    <row r="29" spans="1:13">
      <c r="B29" s="205" t="s">
        <v>42</v>
      </c>
      <c r="C29" s="205"/>
      <c r="D29" s="205"/>
    </row>
    <row r="32" spans="1:13">
      <c r="J32" s="325"/>
    </row>
    <row r="33" spans="7:11">
      <c r="G33" s="325"/>
      <c r="J33" s="325"/>
      <c r="K33" s="253"/>
    </row>
    <row r="35" spans="7:11">
      <c r="K35" s="325"/>
    </row>
  </sheetData>
  <sheetProtection algorithmName="SHA-512" hashValue="GeoeIaPTH+bznS/3kXoVzilqcj3w+EsGqIGtJF8gpGpINGepmzxsZsNDDkc7rV7m0FH01N3iSGiMHHXrjw+31w==" saltValue="TW8402Jj0HUvGvLaTDuxnA=="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18">
    <mergeCell ref="B2:L2"/>
    <mergeCell ref="B3:L3"/>
    <mergeCell ref="J5:K6"/>
    <mergeCell ref="C6:D6"/>
    <mergeCell ref="A15:A17"/>
    <mergeCell ref="C10:D10"/>
    <mergeCell ref="C11:D11"/>
    <mergeCell ref="C12:D12"/>
    <mergeCell ref="C13:D13"/>
    <mergeCell ref="C14:D14"/>
    <mergeCell ref="C15:D15"/>
    <mergeCell ref="C16:D16"/>
    <mergeCell ref="C17:D17"/>
    <mergeCell ref="C18:D18"/>
    <mergeCell ref="C19:D19"/>
    <mergeCell ref="C20:D20"/>
    <mergeCell ref="C21:D21"/>
    <mergeCell ref="C22:D22"/>
  </mergeCells>
  <pageMargins left="0.25" right="0.25" top="0.5" bottom="0.5" header="0.25" footer="0.25"/>
  <pageSetup paperSize="5" scale="60" orientation="portrait" r:id="rId5"/>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7">
    <pageSetUpPr fitToPage="1"/>
  </sheetPr>
  <dimension ref="A1:U29"/>
  <sheetViews>
    <sheetView workbookViewId="0">
      <selection activeCell="J23" sqref="J23"/>
    </sheetView>
  </sheetViews>
  <sheetFormatPr defaultRowHeight="13.2"/>
  <cols>
    <col min="1" max="1" width="5.6640625" customWidth="1"/>
    <col min="2" max="3" width="4.88671875" customWidth="1"/>
    <col min="4" max="4" width="30.6640625" customWidth="1"/>
    <col min="5" max="12" width="15.6640625" customWidth="1"/>
  </cols>
  <sheetData>
    <row r="1" spans="1:21">
      <c r="B1" s="322"/>
      <c r="C1" s="322"/>
      <c r="D1" s="322"/>
      <c r="E1" s="322"/>
      <c r="F1" s="322"/>
      <c r="G1" s="322"/>
      <c r="H1" s="322"/>
      <c r="I1" s="322"/>
      <c r="J1" s="322"/>
      <c r="K1" s="322"/>
      <c r="L1" s="322"/>
    </row>
    <row r="2" spans="1:21" ht="20.399999999999999">
      <c r="B2" s="1508" t="s">
        <v>654</v>
      </c>
      <c r="C2" s="1508"/>
      <c r="D2" s="1508"/>
      <c r="E2" s="1508"/>
      <c r="F2" s="1508"/>
      <c r="G2" s="1508"/>
      <c r="H2" s="1508"/>
      <c r="I2" s="1508"/>
      <c r="J2" s="1508"/>
      <c r="K2" s="1508"/>
      <c r="L2" s="1508"/>
    </row>
    <row r="3" spans="1:21" ht="21" thickBot="1">
      <c r="B3" s="1508"/>
      <c r="C3" s="1508"/>
      <c r="D3" s="1508"/>
      <c r="E3" s="1508"/>
      <c r="F3" s="1508"/>
      <c r="G3" s="1508"/>
      <c r="H3" s="1508"/>
      <c r="I3" s="1508"/>
      <c r="J3" s="1508"/>
      <c r="K3" s="1508"/>
      <c r="L3" s="1508"/>
    </row>
    <row r="4" spans="1:21" ht="13.5" customHeight="1" thickTop="1">
      <c r="B4" s="11"/>
      <c r="C4" s="11"/>
      <c r="D4" s="11"/>
      <c r="E4" s="12"/>
      <c r="F4" s="12"/>
      <c r="G4" s="12"/>
      <c r="H4" s="12"/>
      <c r="I4" s="12"/>
      <c r="J4" s="11"/>
      <c r="K4" s="11"/>
      <c r="L4" s="18"/>
    </row>
    <row r="5" spans="1:21" ht="13.5" customHeight="1">
      <c r="B5" s="322"/>
      <c r="C5" s="322"/>
      <c r="D5" s="322"/>
      <c r="E5" s="282" t="s">
        <v>176</v>
      </c>
      <c r="F5" s="997" t="s">
        <v>176</v>
      </c>
      <c r="G5" s="997" t="s">
        <v>533</v>
      </c>
      <c r="H5" s="997" t="s">
        <v>18</v>
      </c>
      <c r="I5" s="997" t="s">
        <v>684</v>
      </c>
      <c r="J5" s="1720" t="str">
        <f>'33-Note Debt Service'!J5:K6</f>
        <v>2020 Budget Requirements</v>
      </c>
      <c r="K5" s="1721"/>
      <c r="L5" s="21" t="s">
        <v>685</v>
      </c>
    </row>
    <row r="6" spans="1:21" ht="13.5" customHeight="1">
      <c r="B6" s="322"/>
      <c r="C6" s="1546" t="s">
        <v>175</v>
      </c>
      <c r="D6" s="1595"/>
      <c r="E6" s="282" t="s">
        <v>533</v>
      </c>
      <c r="F6" s="997" t="s">
        <v>177</v>
      </c>
      <c r="G6" s="997" t="s">
        <v>681</v>
      </c>
      <c r="H6" s="997" t="s">
        <v>682</v>
      </c>
      <c r="I6" s="997" t="s">
        <v>682</v>
      </c>
      <c r="J6" s="1722"/>
      <c r="K6" s="1723"/>
      <c r="L6" s="21" t="s">
        <v>688</v>
      </c>
    </row>
    <row r="7" spans="1:21" ht="13.5" customHeight="1">
      <c r="B7" s="322"/>
      <c r="C7" s="322"/>
      <c r="D7" s="322"/>
      <c r="E7" s="282" t="s">
        <v>113</v>
      </c>
      <c r="F7" s="282" t="s">
        <v>178</v>
      </c>
      <c r="G7" s="282" t="s">
        <v>257</v>
      </c>
      <c r="H7" s="282" t="s">
        <v>683</v>
      </c>
      <c r="I7" s="282" t="s">
        <v>685</v>
      </c>
      <c r="J7" s="282" t="s">
        <v>142</v>
      </c>
      <c r="K7" s="282" t="s">
        <v>686</v>
      </c>
      <c r="L7" s="21" t="s">
        <v>689</v>
      </c>
    </row>
    <row r="8" spans="1:21" ht="13.5" customHeight="1" thickBot="1">
      <c r="B8" s="10"/>
      <c r="C8" s="10"/>
      <c r="D8" s="10"/>
      <c r="E8" s="14"/>
      <c r="F8" s="14"/>
      <c r="G8" s="305" t="str">
        <f>'KEY INPUTS'!D46</f>
        <v>Dec. 31, 2019</v>
      </c>
      <c r="H8" s="14"/>
      <c r="I8" s="14"/>
      <c r="J8" s="16"/>
      <c r="K8" s="149" t="s">
        <v>687</v>
      </c>
      <c r="L8" s="19"/>
    </row>
    <row r="9" spans="1:21" ht="21" customHeight="1" thickTop="1">
      <c r="B9" s="86" t="s">
        <v>384</v>
      </c>
      <c r="C9" s="1732"/>
      <c r="D9" s="1733"/>
      <c r="E9" s="618"/>
      <c r="F9" s="619"/>
      <c r="G9" s="618"/>
      <c r="H9" s="618"/>
      <c r="I9" s="957"/>
      <c r="J9" s="618"/>
      <c r="K9" s="618"/>
      <c r="L9" s="621"/>
      <c r="O9" s="322"/>
      <c r="P9" s="322"/>
      <c r="Q9" s="322"/>
      <c r="R9" s="322"/>
      <c r="S9" s="322"/>
      <c r="T9" s="322"/>
      <c r="U9" s="322"/>
    </row>
    <row r="10" spans="1:21" ht="21" customHeight="1">
      <c r="B10" s="87" t="s">
        <v>385</v>
      </c>
      <c r="C10" s="1563"/>
      <c r="D10" s="1564"/>
      <c r="E10" s="601"/>
      <c r="F10" s="622"/>
      <c r="G10" s="601"/>
      <c r="H10" s="601"/>
      <c r="I10" s="958"/>
      <c r="J10" s="601"/>
      <c r="K10" s="601"/>
      <c r="L10" s="624"/>
      <c r="O10" s="322"/>
      <c r="P10" s="322"/>
      <c r="Q10" s="322"/>
      <c r="R10" s="322"/>
      <c r="S10" s="322"/>
      <c r="T10" s="322"/>
      <c r="U10" s="322"/>
    </row>
    <row r="11" spans="1:21" ht="21" customHeight="1">
      <c r="B11" s="87" t="s">
        <v>386</v>
      </c>
      <c r="C11" s="1563"/>
      <c r="D11" s="1564"/>
      <c r="E11" s="601"/>
      <c r="F11" s="622"/>
      <c r="G11" s="601"/>
      <c r="H11" s="601"/>
      <c r="I11" s="958"/>
      <c r="J11" s="601"/>
      <c r="K11" s="601"/>
      <c r="L11" s="624"/>
      <c r="O11" s="377"/>
      <c r="P11" s="322"/>
      <c r="Q11" s="322"/>
      <c r="R11" s="322"/>
      <c r="S11" s="322"/>
      <c r="T11" s="322"/>
      <c r="U11" s="322"/>
    </row>
    <row r="12" spans="1:21" ht="21" customHeight="1">
      <c r="B12" s="87" t="s">
        <v>387</v>
      </c>
      <c r="C12" s="1563"/>
      <c r="D12" s="1564"/>
      <c r="E12" s="601"/>
      <c r="F12" s="622"/>
      <c r="G12" s="601"/>
      <c r="H12" s="601"/>
      <c r="I12" s="958"/>
      <c r="J12" s="601"/>
      <c r="K12" s="601"/>
      <c r="L12" s="624"/>
      <c r="O12" s="322"/>
      <c r="P12" s="322"/>
      <c r="Q12" s="322"/>
      <c r="R12" s="322"/>
      <c r="S12" s="322"/>
      <c r="T12" s="322"/>
      <c r="U12" s="322"/>
    </row>
    <row r="13" spans="1:21" ht="21" customHeight="1">
      <c r="B13" s="87" t="s">
        <v>388</v>
      </c>
      <c r="C13" s="1563"/>
      <c r="D13" s="1564"/>
      <c r="E13" s="601"/>
      <c r="F13" s="622"/>
      <c r="G13" s="601"/>
      <c r="H13" s="601"/>
      <c r="I13" s="958"/>
      <c r="J13" s="601"/>
      <c r="K13" s="601"/>
      <c r="L13" s="624"/>
      <c r="O13" s="322"/>
      <c r="P13" s="322"/>
      <c r="Q13" s="322"/>
      <c r="R13" s="322"/>
      <c r="S13" s="322"/>
      <c r="T13" s="322"/>
      <c r="U13" s="322"/>
    </row>
    <row r="14" spans="1:21" ht="21" customHeight="1">
      <c r="B14" s="87" t="s">
        <v>389</v>
      </c>
      <c r="C14" s="1563"/>
      <c r="D14" s="1564"/>
      <c r="E14" s="604"/>
      <c r="F14" s="625"/>
      <c r="G14" s="604"/>
      <c r="H14" s="604"/>
      <c r="I14" s="959"/>
      <c r="J14" s="601"/>
      <c r="K14" s="601"/>
      <c r="L14" s="624"/>
      <c r="O14" s="322"/>
      <c r="P14" s="322"/>
      <c r="Q14" s="322"/>
      <c r="R14" s="322"/>
      <c r="S14" s="322"/>
      <c r="T14" s="322"/>
      <c r="U14" s="322"/>
    </row>
    <row r="15" spans="1:21" ht="21" customHeight="1">
      <c r="A15" s="1577" t="s">
        <v>692</v>
      </c>
      <c r="B15" s="87" t="s">
        <v>390</v>
      </c>
      <c r="C15" s="1563"/>
      <c r="D15" s="1564"/>
      <c r="E15" s="601"/>
      <c r="F15" s="622"/>
      <c r="G15" s="601"/>
      <c r="H15" s="601"/>
      <c r="I15" s="958"/>
      <c r="J15" s="601"/>
      <c r="K15" s="601"/>
      <c r="L15" s="624"/>
      <c r="O15" s="322"/>
      <c r="P15" s="322"/>
      <c r="Q15" s="322"/>
      <c r="R15" s="322"/>
      <c r="S15" s="322"/>
      <c r="T15" s="322"/>
      <c r="U15" s="322"/>
    </row>
    <row r="16" spans="1:21" ht="21" customHeight="1">
      <c r="A16" s="1577"/>
      <c r="B16" s="87" t="s">
        <v>501</v>
      </c>
      <c r="C16" s="1563"/>
      <c r="D16" s="1564"/>
      <c r="E16" s="601"/>
      <c r="F16" s="622"/>
      <c r="G16" s="601"/>
      <c r="H16" s="601"/>
      <c r="I16" s="958"/>
      <c r="J16" s="601"/>
      <c r="K16" s="601"/>
      <c r="L16" s="624"/>
      <c r="O16" s="322"/>
      <c r="P16" s="322"/>
      <c r="Q16" s="322"/>
      <c r="R16" s="322"/>
      <c r="S16" s="322"/>
      <c r="T16" s="322"/>
      <c r="U16" s="322"/>
    </row>
    <row r="17" spans="1:21" ht="21" customHeight="1">
      <c r="A17" s="1577"/>
      <c r="B17" s="87" t="s">
        <v>502</v>
      </c>
      <c r="C17" s="1563"/>
      <c r="D17" s="1564"/>
      <c r="E17" s="601"/>
      <c r="F17" s="622"/>
      <c r="G17" s="601"/>
      <c r="H17" s="601"/>
      <c r="I17" s="958"/>
      <c r="J17" s="601"/>
      <c r="K17" s="601"/>
      <c r="L17" s="624"/>
      <c r="O17" s="322"/>
      <c r="P17" s="322"/>
      <c r="Q17" s="322"/>
      <c r="R17" s="322"/>
      <c r="S17" s="322"/>
      <c r="T17" s="322"/>
      <c r="U17" s="322"/>
    </row>
    <row r="18" spans="1:21" ht="21" customHeight="1">
      <c r="A18" s="138"/>
      <c r="B18" s="87" t="s">
        <v>503</v>
      </c>
      <c r="C18" s="1563"/>
      <c r="D18" s="1564"/>
      <c r="E18" s="601"/>
      <c r="F18" s="622"/>
      <c r="G18" s="601"/>
      <c r="H18" s="601"/>
      <c r="I18" s="958"/>
      <c r="J18" s="601"/>
      <c r="K18" s="601"/>
      <c r="L18" s="624"/>
      <c r="O18" s="322"/>
      <c r="P18" s="322"/>
      <c r="Q18" s="322"/>
      <c r="R18" s="322"/>
      <c r="S18" s="322"/>
      <c r="T18" s="322"/>
      <c r="U18" s="322"/>
    </row>
    <row r="19" spans="1:21" ht="21" customHeight="1">
      <c r="B19" s="87" t="s">
        <v>288</v>
      </c>
      <c r="C19" s="1563"/>
      <c r="D19" s="1564"/>
      <c r="E19" s="601"/>
      <c r="F19" s="622"/>
      <c r="G19" s="601"/>
      <c r="H19" s="601"/>
      <c r="I19" s="958"/>
      <c r="J19" s="601"/>
      <c r="K19" s="601"/>
      <c r="L19" s="624"/>
      <c r="O19" s="322"/>
      <c r="P19" s="322"/>
      <c r="Q19" s="322"/>
      <c r="R19" s="322"/>
      <c r="S19" s="322"/>
      <c r="T19" s="322"/>
      <c r="U19" s="322"/>
    </row>
    <row r="20" spans="1:21" ht="21" customHeight="1">
      <c r="B20" s="87" t="s">
        <v>290</v>
      </c>
      <c r="C20" s="1563"/>
      <c r="D20" s="1564"/>
      <c r="E20" s="601"/>
      <c r="F20" s="622"/>
      <c r="G20" s="601"/>
      <c r="H20" s="601"/>
      <c r="I20" s="958"/>
      <c r="J20" s="601"/>
      <c r="K20" s="601"/>
      <c r="L20" s="624"/>
      <c r="O20" s="322"/>
      <c r="P20" s="322"/>
      <c r="Q20" s="322"/>
      <c r="R20" s="322"/>
      <c r="S20" s="322"/>
      <c r="T20" s="322"/>
      <c r="U20" s="322"/>
    </row>
    <row r="21" spans="1:21" ht="21" customHeight="1">
      <c r="B21" s="87" t="s">
        <v>292</v>
      </c>
      <c r="C21" s="1563"/>
      <c r="D21" s="1564"/>
      <c r="E21" s="601"/>
      <c r="F21" s="622"/>
      <c r="G21" s="601"/>
      <c r="H21" s="601"/>
      <c r="I21" s="958"/>
      <c r="J21" s="601"/>
      <c r="K21" s="601"/>
      <c r="L21" s="624"/>
      <c r="O21" s="322"/>
      <c r="P21" s="322"/>
      <c r="Q21" s="322"/>
      <c r="R21" s="322"/>
      <c r="S21" s="322"/>
      <c r="T21" s="322"/>
      <c r="U21" s="322"/>
    </row>
    <row r="22" spans="1:21" ht="21" customHeight="1" thickBot="1">
      <c r="B22" s="87" t="s">
        <v>719</v>
      </c>
      <c r="C22" s="1563"/>
      <c r="D22" s="1564"/>
      <c r="E22" s="627"/>
      <c r="F22" s="617"/>
      <c r="G22" s="627"/>
      <c r="H22" s="627"/>
      <c r="I22" s="960"/>
      <c r="J22" s="627"/>
      <c r="K22" s="627"/>
      <c r="L22" s="628"/>
      <c r="O22" s="322"/>
      <c r="P22" s="322"/>
      <c r="Q22" s="322"/>
      <c r="R22" s="322"/>
      <c r="S22" s="322"/>
      <c r="T22" s="322"/>
      <c r="U22" s="322"/>
    </row>
    <row r="23" spans="1:21" ht="21" customHeight="1" thickTop="1" thickBot="1">
      <c r="B23" s="148"/>
      <c r="C23" s="27"/>
      <c r="D23" s="77" t="s">
        <v>174</v>
      </c>
      <c r="E23" s="137"/>
      <c r="F23" s="14"/>
      <c r="G23" s="137">
        <f>SUM(G9:G22)</f>
        <v>0</v>
      </c>
      <c r="H23" s="137">
        <f>SUM(H9:H22)</f>
        <v>0</v>
      </c>
      <c r="I23" s="137"/>
      <c r="J23" s="137">
        <f>SUM(J9:J22)</f>
        <v>0</v>
      </c>
      <c r="K23" s="137">
        <f>SUM(K9:K22)</f>
        <v>0</v>
      </c>
      <c r="L23" s="19"/>
      <c r="O23" s="322"/>
      <c r="P23" s="322"/>
      <c r="Q23" s="322"/>
      <c r="R23" s="322"/>
      <c r="S23" s="322"/>
      <c r="T23" s="322"/>
      <c r="U23" s="322"/>
    </row>
    <row r="24" spans="1:21" ht="13.5" customHeight="1" thickTop="1">
      <c r="B24" s="154" t="s">
        <v>693</v>
      </c>
      <c r="C24" s="44"/>
      <c r="D24" s="152"/>
      <c r="E24" s="286"/>
      <c r="F24" s="286"/>
      <c r="G24" s="286"/>
      <c r="H24" s="286"/>
      <c r="I24" s="286"/>
      <c r="J24" s="988" t="s">
        <v>690</v>
      </c>
      <c r="K24" s="988" t="s">
        <v>691</v>
      </c>
      <c r="L24" s="286"/>
      <c r="O24" s="322"/>
      <c r="P24" s="322"/>
      <c r="Q24" s="322"/>
      <c r="R24" s="322"/>
      <c r="S24" s="322"/>
      <c r="T24" s="322"/>
      <c r="U24" s="322"/>
    </row>
    <row r="25" spans="1:21" ht="13.5" customHeight="1">
      <c r="B25" s="154"/>
      <c r="C25" s="44" t="str">
        <f>"Assessment Notes with an original date of issue of "&amp;TEXT('KEY INPUTS'!D33-3,"0")&amp;" or prior must be appropriated in full in the "&amp;TEXT('KEY INPUTS'!D33,"0")&amp;" Dedicated Assessment Budget or written intent of permanent financing"</f>
        <v>Assessment Notes with an original date of issue of 2017 or prior must be appropriated in full in the 2020 Dedicated Assessment Budget or written intent of permanent financing</v>
      </c>
      <c r="D25" s="152"/>
      <c r="E25" s="286"/>
      <c r="F25" s="286"/>
      <c r="G25" s="286"/>
      <c r="H25" s="286"/>
      <c r="I25" s="286"/>
      <c r="J25" s="286"/>
      <c r="K25" s="286"/>
      <c r="L25" s="286"/>
      <c r="O25" s="322"/>
      <c r="P25" s="322"/>
      <c r="Q25" s="322"/>
      <c r="R25" s="322"/>
      <c r="S25" s="322"/>
      <c r="T25" s="322"/>
      <c r="U25" s="322"/>
    </row>
    <row r="26" spans="1:21" ht="13.5" customHeight="1">
      <c r="B26" s="154"/>
      <c r="C26" s="44"/>
      <c r="D26" s="155" t="s">
        <v>694</v>
      </c>
      <c r="E26" s="286"/>
      <c r="F26" s="286"/>
      <c r="G26" s="286"/>
      <c r="H26" s="286"/>
      <c r="I26" s="286"/>
      <c r="J26" s="286"/>
      <c r="K26" s="286"/>
      <c r="L26" s="286"/>
    </row>
    <row r="27" spans="1:21" ht="13.5" customHeight="1">
      <c r="B27" s="154"/>
      <c r="C27" s="44" t="s">
        <v>695</v>
      </c>
      <c r="D27" s="152"/>
      <c r="E27" s="286"/>
      <c r="F27" s="286"/>
      <c r="G27" s="286"/>
      <c r="H27" s="286"/>
      <c r="I27" s="286"/>
      <c r="J27" s="286"/>
      <c r="K27" s="286"/>
      <c r="L27" s="286"/>
    </row>
    <row r="28" spans="1:21" ht="13.5" customHeight="1">
      <c r="B28" s="154"/>
      <c r="C28" s="44"/>
      <c r="D28" s="152"/>
      <c r="E28" s="286"/>
      <c r="F28" s="286"/>
      <c r="G28" s="286"/>
      <c r="H28" s="286"/>
      <c r="I28" s="286"/>
      <c r="J28" s="151" t="s">
        <v>127</v>
      </c>
      <c r="K28" s="286"/>
      <c r="L28" s="286"/>
    </row>
    <row r="29" spans="1:21">
      <c r="B29" s="8"/>
      <c r="C29" s="34"/>
      <c r="D29" s="34"/>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19">
    <mergeCell ref="B2:L2"/>
    <mergeCell ref="B3:L3"/>
    <mergeCell ref="A15:A17"/>
    <mergeCell ref="C6:D6"/>
    <mergeCell ref="J5:K6"/>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s>
  <phoneticPr fontId="0" type="noConversion"/>
  <pageMargins left="0.25" right="0.25" top="0.5" bottom="0.5" header="0.25" footer="0.25"/>
  <pageSetup paperSize="5" scale="60" orientation="portrait" r:id="rId5"/>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8">
    <pageSetUpPr fitToPage="1"/>
  </sheetPr>
  <dimension ref="A1:R27"/>
  <sheetViews>
    <sheetView workbookViewId="0">
      <selection activeCell="B3" sqref="B3:O3"/>
    </sheetView>
  </sheetViews>
  <sheetFormatPr defaultRowHeight="13.2"/>
  <cols>
    <col min="1" max="1" width="5.6640625" customWidth="1"/>
    <col min="2" max="3" width="4.88671875" customWidth="1"/>
    <col min="4" max="4" width="30.6640625" customWidth="1"/>
    <col min="5" max="6" width="15.6640625" customWidth="1"/>
    <col min="7" max="9" width="30.6640625" customWidth="1"/>
  </cols>
  <sheetData>
    <row r="1" spans="1:18">
      <c r="B1" s="322"/>
      <c r="C1" s="322"/>
      <c r="D1" s="322"/>
      <c r="E1" s="322"/>
      <c r="F1" s="322"/>
      <c r="G1" s="322"/>
      <c r="H1" s="322"/>
      <c r="I1" s="322"/>
    </row>
    <row r="2" spans="1:18" ht="20.399999999999999">
      <c r="B2" s="1508" t="s">
        <v>548</v>
      </c>
      <c r="C2" s="1508"/>
      <c r="D2" s="1508"/>
      <c r="E2" s="1508"/>
      <c r="F2" s="1508"/>
      <c r="G2" s="1508"/>
      <c r="H2" s="1508"/>
      <c r="I2" s="1508"/>
    </row>
    <row r="3" spans="1:18" ht="21" thickBot="1">
      <c r="B3" s="1508"/>
      <c r="C3" s="1508"/>
      <c r="D3" s="1508"/>
      <c r="E3" s="1508"/>
      <c r="F3" s="1508"/>
      <c r="G3" s="1508"/>
      <c r="H3" s="1508"/>
      <c r="I3" s="1508"/>
    </row>
    <row r="4" spans="1:18" ht="13.5" customHeight="1" thickTop="1">
      <c r="B4" s="11"/>
      <c r="C4" s="11"/>
      <c r="D4" s="11"/>
      <c r="E4" s="54"/>
      <c r="F4" s="996"/>
      <c r="G4" s="996"/>
      <c r="H4" s="11"/>
      <c r="I4" s="193"/>
    </row>
    <row r="5" spans="1:18" ht="13.5" customHeight="1">
      <c r="B5" s="322"/>
      <c r="C5" s="322"/>
      <c r="D5" s="322"/>
      <c r="E5" s="1005"/>
      <c r="F5" s="1005"/>
      <c r="G5" s="997" t="s">
        <v>533</v>
      </c>
      <c r="H5" s="1720" t="str">
        <f>'34-Assmt Note Debt Service'!J5</f>
        <v>2020 Budget Requirements</v>
      </c>
      <c r="I5" s="1735"/>
    </row>
    <row r="6" spans="1:18" ht="13.5" customHeight="1">
      <c r="B6" s="322"/>
      <c r="C6" s="1546" t="s">
        <v>532</v>
      </c>
      <c r="D6" s="1734"/>
      <c r="E6" s="1005"/>
      <c r="F6" s="1005"/>
      <c r="G6" s="997" t="s">
        <v>549</v>
      </c>
      <c r="H6" s="1722"/>
      <c r="I6" s="1736"/>
    </row>
    <row r="7" spans="1:18" ht="13.5" customHeight="1">
      <c r="B7" s="322"/>
      <c r="C7" s="322"/>
      <c r="D7" s="322"/>
      <c r="E7" s="1005"/>
      <c r="F7" s="994"/>
      <c r="G7" s="306" t="str">
        <f>'KEY INPUTS'!D46</f>
        <v>Dec. 31, 2019</v>
      </c>
      <c r="H7" s="282" t="s">
        <v>142</v>
      </c>
      <c r="I7" s="21" t="s">
        <v>550</v>
      </c>
    </row>
    <row r="8" spans="1:18" ht="13.5" customHeight="1" thickBot="1">
      <c r="B8" s="10"/>
      <c r="C8" s="10"/>
      <c r="D8" s="10"/>
      <c r="E8" s="10"/>
      <c r="F8" s="164"/>
      <c r="G8" s="244"/>
      <c r="H8" s="16"/>
      <c r="I8" s="156"/>
    </row>
    <row r="9" spans="1:18" ht="21" customHeight="1" thickTop="1">
      <c r="B9" s="86" t="s">
        <v>384</v>
      </c>
      <c r="C9" s="1732"/>
      <c r="D9" s="1732"/>
      <c r="E9" s="1732"/>
      <c r="F9" s="1733"/>
      <c r="G9" s="629"/>
      <c r="H9" s="618"/>
      <c r="I9" s="630"/>
      <c r="L9" s="322"/>
      <c r="M9" s="322"/>
      <c r="N9" s="322"/>
      <c r="O9" s="322"/>
      <c r="P9" s="322"/>
      <c r="Q9" s="322"/>
      <c r="R9" s="322"/>
    </row>
    <row r="10" spans="1:18" ht="21" customHeight="1">
      <c r="B10" s="87" t="s">
        <v>385</v>
      </c>
      <c r="C10" s="1563"/>
      <c r="D10" s="1563"/>
      <c r="E10" s="1563"/>
      <c r="F10" s="1564"/>
      <c r="G10" s="631"/>
      <c r="H10" s="601"/>
      <c r="I10" s="602"/>
      <c r="L10" s="322"/>
      <c r="M10" s="322"/>
      <c r="N10" s="322"/>
      <c r="O10" s="322"/>
      <c r="P10" s="322"/>
      <c r="Q10" s="322"/>
      <c r="R10" s="322"/>
    </row>
    <row r="11" spans="1:18" ht="21" customHeight="1">
      <c r="B11" s="87" t="s">
        <v>386</v>
      </c>
      <c r="C11" s="1563"/>
      <c r="D11" s="1563"/>
      <c r="E11" s="1563"/>
      <c r="F11" s="1564"/>
      <c r="G11" s="631"/>
      <c r="H11" s="601"/>
      <c r="I11" s="602"/>
      <c r="L11" s="377"/>
      <c r="M11" s="322"/>
      <c r="N11" s="322"/>
      <c r="O11" s="322"/>
      <c r="P11" s="322"/>
      <c r="Q11" s="322"/>
      <c r="R11" s="322"/>
    </row>
    <row r="12" spans="1:18" ht="21" customHeight="1">
      <c r="B12" s="87" t="s">
        <v>387</v>
      </c>
      <c r="C12" s="1563"/>
      <c r="D12" s="1563"/>
      <c r="E12" s="1563"/>
      <c r="F12" s="1564"/>
      <c r="G12" s="631"/>
      <c r="H12" s="601"/>
      <c r="I12" s="602"/>
      <c r="L12" s="322"/>
      <c r="M12" s="322"/>
      <c r="N12" s="322"/>
      <c r="O12" s="322"/>
      <c r="P12" s="322"/>
      <c r="Q12" s="322"/>
      <c r="R12" s="322"/>
    </row>
    <row r="13" spans="1:18" ht="21" customHeight="1">
      <c r="B13" s="87" t="s">
        <v>388</v>
      </c>
      <c r="C13" s="1563"/>
      <c r="D13" s="1563"/>
      <c r="E13" s="1563"/>
      <c r="F13" s="1564"/>
      <c r="G13" s="631"/>
      <c r="H13" s="601"/>
      <c r="I13" s="602"/>
      <c r="L13" s="322"/>
      <c r="M13" s="322"/>
      <c r="N13" s="322"/>
      <c r="O13" s="322"/>
      <c r="P13" s="322"/>
      <c r="Q13" s="322"/>
      <c r="R13" s="322"/>
    </row>
    <row r="14" spans="1:18" ht="21" customHeight="1">
      <c r="B14" s="87" t="s">
        <v>389</v>
      </c>
      <c r="C14" s="1563"/>
      <c r="D14" s="1563"/>
      <c r="E14" s="1563"/>
      <c r="F14" s="1564"/>
      <c r="G14" s="632"/>
      <c r="H14" s="601"/>
      <c r="I14" s="602"/>
      <c r="L14" s="322"/>
      <c r="M14" s="322"/>
      <c r="N14" s="322"/>
      <c r="O14" s="322"/>
      <c r="P14" s="322"/>
      <c r="Q14" s="322"/>
      <c r="R14" s="322"/>
    </row>
    <row r="15" spans="1:18" ht="21" customHeight="1">
      <c r="A15" s="1577" t="s">
        <v>806</v>
      </c>
      <c r="B15" s="87" t="s">
        <v>390</v>
      </c>
      <c r="C15" s="1563"/>
      <c r="D15" s="1563"/>
      <c r="E15" s="1563"/>
      <c r="F15" s="1564"/>
      <c r="G15" s="631"/>
      <c r="H15" s="601"/>
      <c r="I15" s="602"/>
      <c r="L15" s="322"/>
      <c r="M15" s="322"/>
      <c r="N15" s="322"/>
      <c r="O15" s="322"/>
      <c r="P15" s="322"/>
      <c r="Q15" s="322"/>
      <c r="R15" s="322"/>
    </row>
    <row r="16" spans="1:18" ht="21" customHeight="1">
      <c r="A16" s="1577"/>
      <c r="B16" s="87" t="s">
        <v>501</v>
      </c>
      <c r="C16" s="1563"/>
      <c r="D16" s="1563"/>
      <c r="E16" s="1563"/>
      <c r="F16" s="1564"/>
      <c r="G16" s="631"/>
      <c r="H16" s="601"/>
      <c r="I16" s="602"/>
      <c r="L16" s="322"/>
      <c r="M16" s="322"/>
      <c r="N16" s="322"/>
      <c r="O16" s="322"/>
      <c r="P16" s="322"/>
      <c r="Q16" s="322"/>
      <c r="R16" s="322"/>
    </row>
    <row r="17" spans="1:18" ht="21" customHeight="1">
      <c r="A17" s="1577"/>
      <c r="B17" s="87" t="s">
        <v>502</v>
      </c>
      <c r="C17" s="1563"/>
      <c r="D17" s="1563"/>
      <c r="E17" s="1563"/>
      <c r="F17" s="1564"/>
      <c r="G17" s="631"/>
      <c r="H17" s="601"/>
      <c r="I17" s="602"/>
      <c r="L17" s="322"/>
      <c r="M17" s="322"/>
      <c r="N17" s="322"/>
      <c r="O17" s="322"/>
      <c r="P17" s="322"/>
      <c r="Q17" s="322"/>
      <c r="R17" s="322"/>
    </row>
    <row r="18" spans="1:18" ht="21" customHeight="1">
      <c r="A18" s="138"/>
      <c r="B18" s="87" t="s">
        <v>503</v>
      </c>
      <c r="C18" s="1563"/>
      <c r="D18" s="1563"/>
      <c r="E18" s="1563"/>
      <c r="F18" s="1564"/>
      <c r="G18" s="631"/>
      <c r="H18" s="601"/>
      <c r="I18" s="602"/>
      <c r="L18" s="322"/>
      <c r="M18" s="322"/>
      <c r="N18" s="322"/>
      <c r="O18" s="322"/>
      <c r="P18" s="322"/>
      <c r="Q18" s="322"/>
      <c r="R18" s="322"/>
    </row>
    <row r="19" spans="1:18" ht="21" customHeight="1">
      <c r="B19" s="87" t="s">
        <v>288</v>
      </c>
      <c r="C19" s="1563"/>
      <c r="D19" s="1563"/>
      <c r="E19" s="1563"/>
      <c r="F19" s="1564"/>
      <c r="G19" s="631"/>
      <c r="H19" s="601"/>
      <c r="I19" s="602"/>
      <c r="L19" s="322"/>
      <c r="M19" s="322"/>
      <c r="N19" s="322"/>
      <c r="O19" s="322"/>
      <c r="P19" s="322"/>
      <c r="Q19" s="322"/>
      <c r="R19" s="322"/>
    </row>
    <row r="20" spans="1:18" ht="21" customHeight="1">
      <c r="B20" s="87" t="s">
        <v>290</v>
      </c>
      <c r="C20" s="1563"/>
      <c r="D20" s="1563"/>
      <c r="E20" s="1563"/>
      <c r="F20" s="1564"/>
      <c r="G20" s="631"/>
      <c r="H20" s="601"/>
      <c r="I20" s="602"/>
      <c r="L20" s="322"/>
      <c r="M20" s="322"/>
      <c r="N20" s="322"/>
      <c r="O20" s="322"/>
      <c r="P20" s="322"/>
      <c r="Q20" s="322"/>
      <c r="R20" s="322"/>
    </row>
    <row r="21" spans="1:18" ht="21" customHeight="1">
      <c r="B21" s="87" t="s">
        <v>292</v>
      </c>
      <c r="C21" s="1563"/>
      <c r="D21" s="1563"/>
      <c r="E21" s="1563"/>
      <c r="F21" s="1564"/>
      <c r="G21" s="631"/>
      <c r="H21" s="601"/>
      <c r="I21" s="602"/>
      <c r="L21" s="322"/>
      <c r="M21" s="322"/>
      <c r="N21" s="322"/>
      <c r="O21" s="322"/>
      <c r="P21" s="322"/>
      <c r="Q21" s="322"/>
      <c r="R21" s="322"/>
    </row>
    <row r="22" spans="1:18" ht="21" customHeight="1" thickBot="1">
      <c r="B22" s="87" t="s">
        <v>719</v>
      </c>
      <c r="C22" s="1563"/>
      <c r="D22" s="1563"/>
      <c r="E22" s="1563"/>
      <c r="F22" s="1564"/>
      <c r="G22" s="633"/>
      <c r="H22" s="627"/>
      <c r="I22" s="634"/>
      <c r="L22" s="322"/>
      <c r="M22" s="322"/>
      <c r="N22" s="322"/>
      <c r="O22" s="322"/>
      <c r="P22" s="322"/>
      <c r="Q22" s="322"/>
      <c r="R22" s="322"/>
    </row>
    <row r="23" spans="1:18" ht="21" customHeight="1" thickTop="1" thickBot="1">
      <c r="B23" s="148"/>
      <c r="C23" s="27"/>
      <c r="D23" s="139" t="s">
        <v>174</v>
      </c>
      <c r="E23" s="123"/>
      <c r="F23" s="164"/>
      <c r="G23" s="245">
        <f>SUM(G9:G22)</f>
        <v>0</v>
      </c>
      <c r="H23" s="137">
        <f>SUM(H9:H22)</f>
        <v>0</v>
      </c>
      <c r="I23" s="157">
        <f>SUM(I9:I22)</f>
        <v>0</v>
      </c>
      <c r="L23" s="322"/>
      <c r="M23" s="322"/>
      <c r="N23" s="322"/>
      <c r="O23" s="322"/>
      <c r="P23" s="322"/>
      <c r="Q23" s="322"/>
      <c r="R23" s="322"/>
    </row>
    <row r="24" spans="1:18" ht="13.5" customHeight="1" thickTop="1">
      <c r="B24" s="154"/>
      <c r="C24" s="44"/>
      <c r="D24" s="152"/>
      <c r="E24" s="286"/>
      <c r="F24" s="286"/>
      <c r="G24" s="286"/>
      <c r="H24" s="988" t="s">
        <v>690</v>
      </c>
      <c r="I24" s="988" t="s">
        <v>691</v>
      </c>
      <c r="L24" s="322"/>
      <c r="M24" s="322"/>
      <c r="N24" s="322"/>
      <c r="O24" s="322"/>
      <c r="P24" s="322"/>
      <c r="Q24" s="322"/>
      <c r="R24" s="322"/>
    </row>
    <row r="25" spans="1:18" ht="13.5" customHeight="1">
      <c r="B25" s="154"/>
      <c r="C25" s="44"/>
      <c r="D25" s="152"/>
      <c r="E25" s="286"/>
      <c r="F25" s="286"/>
      <c r="G25" s="286"/>
      <c r="H25" s="286"/>
      <c r="I25" s="286"/>
      <c r="L25" s="322"/>
      <c r="M25" s="322"/>
      <c r="N25" s="322"/>
      <c r="O25" s="322"/>
      <c r="P25" s="322"/>
      <c r="Q25" s="322"/>
      <c r="R25" s="322"/>
    </row>
    <row r="26" spans="1:18" ht="13.5" customHeight="1">
      <c r="B26" s="154"/>
      <c r="C26" s="44"/>
      <c r="D26" s="152"/>
      <c r="E26" s="286"/>
      <c r="F26" s="286"/>
      <c r="G26" s="286"/>
      <c r="H26" s="151" t="s">
        <v>127</v>
      </c>
      <c r="I26" s="286"/>
    </row>
    <row r="27" spans="1:18">
      <c r="B27" s="8"/>
      <c r="C27" s="34"/>
      <c r="D27" s="34"/>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19">
    <mergeCell ref="B2:I2"/>
    <mergeCell ref="B3:I3"/>
    <mergeCell ref="A15:A17"/>
    <mergeCell ref="C6:D6"/>
    <mergeCell ref="H5:I6"/>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s>
  <phoneticPr fontId="0" type="noConversion"/>
  <pageMargins left="0.25" right="0.25" top="0.5" bottom="0.5" header="0.25" footer="0.25"/>
  <pageSetup paperSize="5" scale="61" orientation="portrait" r:id="rId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B3:Q48"/>
  <sheetViews>
    <sheetView topLeftCell="A31" zoomScaleNormal="100" workbookViewId="0">
      <selection activeCell="B3" sqref="B3:O3"/>
    </sheetView>
  </sheetViews>
  <sheetFormatPr defaultRowHeight="13.2"/>
  <cols>
    <col min="1" max="1" width="4.6640625" customWidth="1"/>
    <col min="2" max="2" width="4.88671875" customWidth="1"/>
    <col min="3" max="4" width="4.6640625" customWidth="1"/>
    <col min="5" max="5" width="30.88671875" customWidth="1"/>
    <col min="6" max="6" width="15.6640625" customWidth="1"/>
    <col min="7" max="8" width="16.6640625" customWidth="1"/>
    <col min="9" max="9" width="12.109375" bestFit="1" customWidth="1"/>
  </cols>
  <sheetData>
    <row r="3" spans="2:17" ht="22.8">
      <c r="B3" s="1549" t="s">
        <v>134</v>
      </c>
      <c r="C3" s="1549"/>
      <c r="D3" s="1549"/>
      <c r="E3" s="1549"/>
      <c r="F3" s="1549"/>
      <c r="G3" s="1549"/>
      <c r="H3" s="1549"/>
    </row>
    <row r="4" spans="2:17" ht="22.8">
      <c r="B4" s="1549" t="s">
        <v>135</v>
      </c>
      <c r="C4" s="1549"/>
      <c r="D4" s="1549"/>
      <c r="E4" s="1549"/>
      <c r="F4" s="1549"/>
      <c r="G4" s="1549"/>
      <c r="H4" s="1549"/>
    </row>
    <row r="5" spans="2:17" ht="12.75" customHeight="1">
      <c r="B5" s="2"/>
      <c r="C5" s="2"/>
      <c r="D5" s="2"/>
      <c r="E5" s="2"/>
      <c r="F5" s="2"/>
      <c r="G5" s="2"/>
      <c r="H5" s="2"/>
    </row>
    <row r="6" spans="2:17" ht="15.6">
      <c r="B6" s="1556" t="str">
        <f>'KEY INPUTS'!D44</f>
        <v>AS  AT  DECEMBER  31, 2019</v>
      </c>
      <c r="C6" s="1509"/>
      <c r="D6" s="1509"/>
      <c r="E6" s="1509"/>
      <c r="F6" s="1509"/>
      <c r="G6" s="1509"/>
      <c r="H6" s="1509"/>
    </row>
    <row r="7" spans="2:17" ht="13.8" thickBot="1"/>
    <row r="8" spans="2:17" ht="36" customHeight="1" thickTop="1" thickBot="1">
      <c r="B8" s="1553" t="s">
        <v>124</v>
      </c>
      <c r="C8" s="1553"/>
      <c r="D8" s="1553"/>
      <c r="E8" s="1553"/>
      <c r="F8" s="1554"/>
      <c r="G8" s="4" t="s">
        <v>125</v>
      </c>
      <c r="H8" s="3" t="s">
        <v>126</v>
      </c>
      <c r="J8" s="322"/>
      <c r="K8" s="322"/>
      <c r="L8" s="322"/>
      <c r="M8" s="322"/>
      <c r="N8" s="322"/>
      <c r="O8" s="322"/>
      <c r="P8" s="322"/>
      <c r="Q8" s="322"/>
    </row>
    <row r="9" spans="2:17" ht="21" customHeight="1" thickTop="1">
      <c r="G9" s="165"/>
      <c r="H9" s="65"/>
      <c r="J9" s="322"/>
      <c r="K9" s="322"/>
      <c r="L9" s="322"/>
      <c r="M9" s="322"/>
      <c r="N9" s="322"/>
      <c r="O9" s="322"/>
      <c r="P9" s="322"/>
      <c r="Q9" s="322"/>
    </row>
    <row r="10" spans="2:17" s="322" customFormat="1" ht="21" customHeight="1">
      <c r="B10" s="323"/>
      <c r="C10" s="326" t="s">
        <v>459</v>
      </c>
      <c r="D10" s="323"/>
      <c r="E10" s="323"/>
      <c r="F10" s="323"/>
      <c r="G10" s="68">
        <f>+'9-Cash Reconciliation'!I7</f>
        <v>277137.65999999997</v>
      </c>
      <c r="H10" s="69"/>
    </row>
    <row r="11" spans="2:17" ht="21" customHeight="1">
      <c r="B11" s="5"/>
      <c r="C11" s="5" t="s">
        <v>709</v>
      </c>
      <c r="D11" s="5"/>
      <c r="E11" s="5"/>
      <c r="F11" s="5"/>
      <c r="G11" s="68">
        <f>'10 Totals Grants Receivable'!K27</f>
        <v>98248</v>
      </c>
      <c r="H11" s="578"/>
      <c r="I11" s="228"/>
      <c r="J11" s="377"/>
      <c r="K11" s="322"/>
      <c r="L11" s="322"/>
      <c r="M11" s="322"/>
      <c r="N11" s="322"/>
      <c r="O11" s="322"/>
      <c r="P11" s="322"/>
      <c r="Q11" s="322"/>
    </row>
    <row r="12" spans="2:17" ht="21" customHeight="1">
      <c r="B12" s="5"/>
      <c r="C12" s="566"/>
      <c r="D12" s="566"/>
      <c r="E12" s="566"/>
      <c r="F12" s="566"/>
      <c r="G12" s="374"/>
      <c r="H12" s="578"/>
      <c r="J12" s="322"/>
      <c r="K12" s="322"/>
      <c r="L12" s="322"/>
      <c r="M12" s="322"/>
      <c r="N12" s="322"/>
      <c r="O12" s="322"/>
      <c r="P12" s="322"/>
      <c r="Q12" s="322"/>
    </row>
    <row r="13" spans="2:17" s="322" customFormat="1" ht="21" customHeight="1">
      <c r="B13" s="323"/>
      <c r="C13" s="566"/>
      <c r="D13" s="566"/>
      <c r="E13" s="566"/>
      <c r="F13" s="566"/>
      <c r="G13" s="374"/>
      <c r="H13" s="578"/>
    </row>
    <row r="14" spans="2:17" s="322" customFormat="1" ht="21" customHeight="1">
      <c r="B14" s="323"/>
      <c r="C14" s="566"/>
      <c r="D14" s="566"/>
      <c r="E14" s="566"/>
      <c r="F14" s="566"/>
      <c r="G14" s="374"/>
      <c r="H14" s="578"/>
    </row>
    <row r="15" spans="2:17" s="322" customFormat="1" ht="21" customHeight="1">
      <c r="B15" s="323"/>
      <c r="C15" s="566"/>
      <c r="D15" s="566"/>
      <c r="E15" s="566"/>
      <c r="F15" s="566"/>
      <c r="G15" s="374"/>
      <c r="H15" s="578"/>
    </row>
    <row r="16" spans="2:17" s="322" customFormat="1" ht="21" customHeight="1">
      <c r="B16" s="323"/>
      <c r="C16" s="566"/>
      <c r="D16" s="566"/>
      <c r="E16" s="566"/>
      <c r="F16" s="566"/>
      <c r="G16" s="374"/>
      <c r="H16" s="578"/>
    </row>
    <row r="17" spans="2:17" s="322" customFormat="1" ht="21" customHeight="1">
      <c r="B17" s="323"/>
      <c r="C17" s="566"/>
      <c r="D17" s="566"/>
      <c r="E17" s="566"/>
      <c r="F17" s="566"/>
      <c r="G17" s="374"/>
      <c r="H17" s="578"/>
    </row>
    <row r="18" spans="2:17" s="322" customFormat="1" ht="21" customHeight="1">
      <c r="B18" s="323"/>
      <c r="C18" s="566"/>
      <c r="D18" s="566"/>
      <c r="E18" s="566"/>
      <c r="F18" s="566"/>
      <c r="G18" s="374"/>
      <c r="H18" s="578"/>
    </row>
    <row r="19" spans="2:17" s="280" customFormat="1" ht="21" customHeight="1">
      <c r="B19" s="281"/>
      <c r="C19" s="566"/>
      <c r="D19" s="566"/>
      <c r="E19" s="566"/>
      <c r="F19" s="566"/>
      <c r="G19" s="374"/>
      <c r="H19" s="578"/>
      <c r="I19" s="312"/>
      <c r="J19" s="322"/>
      <c r="K19" s="322"/>
      <c r="L19" s="322"/>
      <c r="M19" s="322"/>
      <c r="N19" s="322"/>
      <c r="O19" s="322"/>
      <c r="P19" s="322"/>
      <c r="Q19" s="322"/>
    </row>
    <row r="20" spans="2:17" s="280" customFormat="1" ht="21" customHeight="1">
      <c r="B20" s="281"/>
      <c r="C20" s="566"/>
      <c r="D20" s="566"/>
      <c r="E20" s="566"/>
      <c r="F20" s="566"/>
      <c r="G20" s="374"/>
      <c r="H20" s="578"/>
      <c r="J20" s="322"/>
      <c r="K20" s="322"/>
      <c r="L20" s="322"/>
      <c r="M20" s="322"/>
      <c r="N20" s="322"/>
      <c r="O20" s="322"/>
      <c r="P20" s="322"/>
      <c r="Q20" s="322"/>
    </row>
    <row r="21" spans="2:17" ht="21" customHeight="1">
      <c r="B21" s="5"/>
      <c r="C21" s="566" t="s">
        <v>161</v>
      </c>
      <c r="D21" s="566"/>
      <c r="E21" s="566"/>
      <c r="F21" s="566"/>
      <c r="G21" s="374"/>
      <c r="H21" s="578"/>
      <c r="I21" s="228"/>
      <c r="J21" s="322"/>
      <c r="K21" s="322"/>
      <c r="L21" s="322"/>
      <c r="M21" s="322"/>
      <c r="N21" s="322"/>
      <c r="O21" s="322"/>
      <c r="P21" s="322"/>
      <c r="Q21" s="322"/>
    </row>
    <row r="22" spans="2:17" ht="21" customHeight="1">
      <c r="B22" s="5"/>
      <c r="C22" s="566"/>
      <c r="D22" s="566"/>
      <c r="E22" s="566"/>
      <c r="F22" s="566"/>
      <c r="G22" s="374"/>
      <c r="H22" s="578"/>
      <c r="J22" s="322"/>
      <c r="K22" s="322"/>
      <c r="L22" s="322"/>
      <c r="M22" s="322"/>
      <c r="N22" s="322"/>
      <c r="O22" s="322"/>
      <c r="P22" s="322"/>
      <c r="Q22" s="322"/>
    </row>
    <row r="23" spans="2:17" ht="21" customHeight="1">
      <c r="B23" s="5"/>
      <c r="C23" s="566"/>
      <c r="D23" s="566"/>
      <c r="E23" s="566"/>
      <c r="F23" s="566"/>
      <c r="G23" s="374"/>
      <c r="H23" s="578"/>
      <c r="I23" s="228"/>
      <c r="J23" s="322"/>
      <c r="K23" s="322"/>
      <c r="L23" s="322"/>
      <c r="M23" s="322"/>
      <c r="N23" s="322"/>
      <c r="O23" s="322"/>
      <c r="P23" s="322"/>
      <c r="Q23" s="322"/>
    </row>
    <row r="24" spans="2:17" ht="21" customHeight="1">
      <c r="B24" s="5"/>
      <c r="C24" s="566" t="s">
        <v>996</v>
      </c>
      <c r="D24" s="566"/>
      <c r="E24" s="566"/>
      <c r="F24" s="566"/>
      <c r="G24" s="374"/>
      <c r="H24" s="578"/>
      <c r="I24" s="312"/>
      <c r="J24" s="322"/>
      <c r="K24" s="322"/>
      <c r="L24" s="322"/>
      <c r="M24" s="322"/>
      <c r="N24" s="322"/>
      <c r="O24" s="322"/>
      <c r="P24" s="322"/>
      <c r="Q24" s="322"/>
    </row>
    <row r="25" spans="2:17" s="322" customFormat="1" ht="21" customHeight="1">
      <c r="B25" s="323"/>
      <c r="C25" s="566"/>
      <c r="D25" s="566"/>
      <c r="E25" s="566"/>
      <c r="F25" s="566"/>
      <c r="G25" s="374"/>
      <c r="H25" s="578"/>
      <c r="I25" s="325"/>
    </row>
    <row r="26" spans="2:17" s="322" customFormat="1" ht="21" customHeight="1">
      <c r="B26" s="323"/>
      <c r="C26" s="566"/>
      <c r="D26" s="566"/>
      <c r="E26" s="566"/>
      <c r="F26" s="566"/>
      <c r="G26" s="374"/>
      <c r="H26" s="578"/>
      <c r="I26" s="325"/>
    </row>
    <row r="27" spans="2:17" s="322" customFormat="1" ht="21" customHeight="1">
      <c r="B27" s="323"/>
      <c r="C27" s="566"/>
      <c r="D27" s="566"/>
      <c r="E27" s="566"/>
      <c r="F27" s="566"/>
      <c r="G27" s="374"/>
      <c r="H27" s="578"/>
      <c r="I27" s="325"/>
    </row>
    <row r="28" spans="2:17" s="322" customFormat="1" ht="21" customHeight="1">
      <c r="B28" s="323"/>
      <c r="C28" s="566"/>
      <c r="D28" s="566"/>
      <c r="E28" s="566"/>
      <c r="F28" s="566"/>
      <c r="G28" s="374"/>
      <c r="H28" s="578"/>
      <c r="I28" s="325"/>
    </row>
    <row r="29" spans="2:17" s="322" customFormat="1" ht="21" customHeight="1">
      <c r="B29" s="323"/>
      <c r="C29" s="566"/>
      <c r="D29" s="566"/>
      <c r="E29" s="566"/>
      <c r="F29" s="566"/>
      <c r="G29" s="374"/>
      <c r="H29" s="578"/>
      <c r="I29" s="325"/>
    </row>
    <row r="30" spans="2:17" s="322" customFormat="1" ht="21" customHeight="1">
      <c r="B30" s="323"/>
      <c r="C30" s="566"/>
      <c r="D30" s="566"/>
      <c r="E30" s="566"/>
      <c r="F30" s="566"/>
      <c r="G30" s="374"/>
      <c r="H30" s="578"/>
      <c r="I30" s="325"/>
    </row>
    <row r="31" spans="2:17" ht="21" customHeight="1">
      <c r="B31" s="5"/>
      <c r="C31" s="566"/>
      <c r="D31" s="566"/>
      <c r="E31" s="566"/>
      <c r="F31" s="566"/>
      <c r="G31" s="374"/>
      <c r="H31" s="578"/>
      <c r="J31" s="322"/>
      <c r="K31" s="322"/>
      <c r="L31" s="322"/>
      <c r="M31" s="322"/>
      <c r="N31" s="322"/>
      <c r="O31" s="322"/>
      <c r="P31" s="322"/>
      <c r="Q31" s="322"/>
    </row>
    <row r="32" spans="2:17" ht="21" customHeight="1">
      <c r="B32" s="5"/>
      <c r="C32" s="566"/>
      <c r="D32" s="566"/>
      <c r="E32" s="566"/>
      <c r="F32" s="566"/>
      <c r="G32" s="374"/>
      <c r="H32" s="578"/>
      <c r="J32" s="322"/>
      <c r="K32" s="322"/>
      <c r="L32" s="322"/>
      <c r="M32" s="322"/>
      <c r="N32" s="322"/>
      <c r="O32" s="322"/>
      <c r="P32" s="322"/>
      <c r="Q32" s="322"/>
    </row>
    <row r="33" spans="2:17" ht="21" customHeight="1">
      <c r="B33" s="5"/>
      <c r="C33" s="5" t="s">
        <v>366</v>
      </c>
      <c r="D33" s="5"/>
      <c r="E33" s="5"/>
      <c r="F33" s="5"/>
      <c r="G33" s="374"/>
      <c r="H33" s="663">
        <f>+'11- Totals Grants Approp Rsrv'!L27</f>
        <v>375385.66</v>
      </c>
      <c r="I33" s="714"/>
      <c r="J33" s="322"/>
      <c r="K33" s="322"/>
      <c r="L33" s="322"/>
      <c r="M33" s="322"/>
      <c r="N33" s="322"/>
      <c r="O33" s="322"/>
      <c r="P33" s="322"/>
      <c r="Q33" s="322"/>
    </row>
    <row r="34" spans="2:17" ht="21" customHeight="1">
      <c r="B34" s="5"/>
      <c r="C34" s="5" t="s">
        <v>710</v>
      </c>
      <c r="D34" s="5"/>
      <c r="E34" s="5"/>
      <c r="F34" s="5"/>
      <c r="G34" s="374"/>
      <c r="H34" s="663">
        <f>+'12 Total-Grants Unappropriated'!K27</f>
        <v>0</v>
      </c>
      <c r="I34" s="712"/>
      <c r="J34" s="322"/>
      <c r="K34" s="322"/>
      <c r="L34" s="322"/>
      <c r="M34" s="322"/>
      <c r="N34" s="322"/>
      <c r="O34" s="322"/>
      <c r="P34" s="322"/>
      <c r="Q34" s="322"/>
    </row>
    <row r="35" spans="2:17" ht="21" customHeight="1" thickBot="1">
      <c r="B35" s="5"/>
      <c r="C35" s="5"/>
      <c r="D35" s="5"/>
      <c r="E35" s="5"/>
      <c r="F35" s="5"/>
      <c r="G35" s="135"/>
      <c r="H35" s="73"/>
      <c r="J35" s="322"/>
      <c r="K35" s="322"/>
      <c r="L35" s="322"/>
      <c r="M35" s="322"/>
      <c r="N35" s="322"/>
      <c r="O35" s="322"/>
      <c r="P35" s="322"/>
      <c r="Q35" s="322"/>
    </row>
    <row r="36" spans="2:17" ht="21" customHeight="1" thickBot="1">
      <c r="B36" s="5"/>
      <c r="C36" s="5"/>
      <c r="D36" s="5" t="s">
        <v>1000</v>
      </c>
      <c r="E36" s="5"/>
      <c r="F36" s="5"/>
      <c r="G36" s="240">
        <f>SUM(G9:G35)</f>
        <v>375385.66</v>
      </c>
      <c r="H36" s="241">
        <f>SUM(H9:H35)</f>
        <v>375385.66</v>
      </c>
      <c r="I36" s="228"/>
      <c r="J36" s="322"/>
      <c r="K36" s="322"/>
      <c r="L36" s="322"/>
      <c r="M36" s="322"/>
      <c r="N36" s="322"/>
      <c r="O36" s="322"/>
      <c r="P36" s="322"/>
      <c r="Q36" s="322"/>
    </row>
    <row r="37" spans="2:17" ht="21" customHeight="1" thickTop="1">
      <c r="B37" s="5"/>
      <c r="C37" s="5"/>
      <c r="D37" s="5"/>
      <c r="E37" s="5"/>
      <c r="F37" s="5"/>
      <c r="G37" s="66"/>
      <c r="H37" s="67"/>
      <c r="I37" s="228"/>
      <c r="J37" s="322"/>
      <c r="K37" s="322"/>
      <c r="L37" s="322"/>
      <c r="M37" s="322"/>
      <c r="N37" s="322"/>
      <c r="O37" s="322"/>
      <c r="P37" s="322"/>
      <c r="Q37" s="322"/>
    </row>
    <row r="38" spans="2:17" ht="21" customHeight="1">
      <c r="B38" s="5"/>
      <c r="C38" s="5"/>
      <c r="D38" s="5"/>
      <c r="E38" s="5"/>
      <c r="F38" s="5"/>
      <c r="G38" s="68"/>
      <c r="H38" s="69"/>
    </row>
    <row r="39" spans="2:17" ht="21" customHeight="1">
      <c r="B39" s="5"/>
      <c r="C39" s="5"/>
      <c r="D39" s="5"/>
      <c r="E39" s="5"/>
      <c r="F39" s="5"/>
      <c r="G39" s="68"/>
      <c r="H39" s="69"/>
    </row>
    <row r="40" spans="2:17" ht="21" customHeight="1">
      <c r="B40" s="5"/>
      <c r="C40" s="5"/>
      <c r="D40" s="5"/>
      <c r="E40" s="5"/>
      <c r="F40" s="5"/>
      <c r="G40" s="68"/>
      <c r="H40" s="69"/>
    </row>
    <row r="41" spans="2:17" ht="21" customHeight="1">
      <c r="B41" s="5"/>
      <c r="C41" s="5"/>
      <c r="D41" s="5"/>
      <c r="E41" s="5"/>
      <c r="F41" s="5"/>
      <c r="G41" s="68"/>
      <c r="H41" s="69"/>
    </row>
    <row r="42" spans="2:17" ht="21" customHeight="1">
      <c r="B42" s="5"/>
      <c r="C42" s="5"/>
      <c r="D42" s="5"/>
      <c r="E42" s="5"/>
      <c r="F42" s="5"/>
      <c r="G42" s="68"/>
      <c r="H42" s="69"/>
    </row>
    <row r="43" spans="2:17" ht="21" customHeight="1">
      <c r="B43" s="5"/>
      <c r="C43" s="5"/>
      <c r="D43" s="5"/>
      <c r="E43" s="5"/>
      <c r="F43" s="5"/>
      <c r="G43" s="68"/>
      <c r="H43" s="69"/>
    </row>
    <row r="44" spans="2:17" ht="21" customHeight="1">
      <c r="B44" s="5"/>
      <c r="C44" s="5"/>
      <c r="D44" s="5"/>
      <c r="E44" s="5"/>
      <c r="F44" s="5"/>
      <c r="G44" s="68"/>
      <c r="H44" s="69"/>
    </row>
    <row r="45" spans="2:17">
      <c r="B45" s="1511" t="s">
        <v>127</v>
      </c>
      <c r="C45" s="1511"/>
      <c r="D45" s="1511"/>
      <c r="E45" s="1511"/>
      <c r="F45" s="1511"/>
      <c r="G45" s="1511"/>
      <c r="H45" s="1511"/>
    </row>
    <row r="46" spans="2:17">
      <c r="B46" s="1"/>
      <c r="C46" s="1"/>
      <c r="D46" s="1"/>
      <c r="E46" s="1"/>
      <c r="F46" s="1"/>
      <c r="G46" s="1"/>
      <c r="H46" s="1"/>
    </row>
    <row r="48" spans="2:17" ht="13.8">
      <c r="B48" s="1507" t="s">
        <v>603</v>
      </c>
      <c r="C48" s="1507"/>
      <c r="D48" s="1507"/>
      <c r="E48" s="1507"/>
      <c r="F48" s="1507"/>
      <c r="G48" s="1507"/>
      <c r="H48" s="1507"/>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H22" sqref="H22"/>
      <pageMargins left="0.25" right="0.25" top="0.5" bottom="0.5" header="0.25" footer="0.25"/>
      <pageSetup paperSize="5" orientation="portrait" r:id="rId2"/>
      <headerFooter alignWithMargins="0"/>
    </customSheetView>
    <customSheetView guid="{A64E4C9E-A3DA-4AAA-8607-F524450B9436}" topLeftCell="A10">
      <selection activeCell="H22" sqref="H22"/>
      <pageMargins left="0.25" right="0.25" top="0.5" bottom="0.5" header="0.25" footer="0.25"/>
      <pageSetup paperSize="5" orientation="portrait" r:id="rId3"/>
      <headerFooter alignWithMargins="0"/>
    </customSheetView>
    <customSheetView guid="{AB4FBD91-4533-473A-9702-569FF6402073}">
      <selection activeCell="H22" sqref="H22"/>
      <pageMargins left="0.25" right="0.25" top="0.5" bottom="0.5" header="0.25" footer="0.25"/>
      <pageSetup paperSize="5" orientation="portrait" r:id="rId4"/>
      <headerFooter alignWithMargins="0"/>
    </customSheetView>
  </customSheetViews>
  <mergeCells count="6">
    <mergeCell ref="B8:F8"/>
    <mergeCell ref="B45:H45"/>
    <mergeCell ref="B48:H48"/>
    <mergeCell ref="B3:H3"/>
    <mergeCell ref="B4:H4"/>
    <mergeCell ref="B6:H6"/>
  </mergeCells>
  <phoneticPr fontId="0" type="noConversion"/>
  <pageMargins left="0.25" right="0.25" top="0.5" bottom="0.5" header="0.25" footer="0.25"/>
  <pageSetup paperSize="5" scale="77" orientation="portrait" r:id="rId5"/>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39">
    <pageSetUpPr fitToPage="1"/>
  </sheetPr>
  <dimension ref="A1:U33"/>
  <sheetViews>
    <sheetView topLeftCell="A22" zoomScaleNormal="100" workbookViewId="0">
      <selection activeCell="B3" sqref="B3:O3"/>
    </sheetView>
  </sheetViews>
  <sheetFormatPr defaultRowHeight="13.2"/>
  <cols>
    <col min="1" max="1" width="5.6640625" customWidth="1"/>
    <col min="2" max="2" width="5.109375" customWidth="1"/>
    <col min="3" max="3" width="4.88671875" customWidth="1"/>
    <col min="4" max="4" width="30.6640625" customWidth="1"/>
    <col min="5" max="12" width="15.6640625" customWidth="1"/>
  </cols>
  <sheetData>
    <row r="1" spans="2:21" ht="8.25" customHeight="1"/>
    <row r="2" spans="2:21" ht="20.399999999999999">
      <c r="B2" s="1508" t="s">
        <v>655</v>
      </c>
      <c r="C2" s="1508"/>
      <c r="D2" s="1508"/>
      <c r="E2" s="1508"/>
      <c r="F2" s="1508"/>
      <c r="G2" s="1508"/>
      <c r="H2" s="1508"/>
      <c r="I2" s="1508"/>
      <c r="J2" s="1508"/>
      <c r="K2" s="1508"/>
      <c r="L2" s="1508"/>
    </row>
    <row r="3" spans="2:21" ht="9.75" customHeight="1" thickBot="1">
      <c r="B3" s="1508"/>
      <c r="C3" s="1508"/>
      <c r="D3" s="1508"/>
      <c r="E3" s="1508"/>
      <c r="F3" s="1508"/>
      <c r="G3" s="1508"/>
      <c r="H3" s="1508"/>
      <c r="I3" s="1508"/>
      <c r="J3" s="1508"/>
      <c r="K3" s="1508"/>
      <c r="L3" s="1508"/>
    </row>
    <row r="4" spans="2:21" ht="13.5" customHeight="1" thickTop="1">
      <c r="B4" s="11"/>
      <c r="C4" s="11"/>
      <c r="D4" s="11"/>
      <c r="E4" s="1737" t="str">
        <f>'KEY INPUTS'!D25</f>
        <v>Balance - January 1, 2019</v>
      </c>
      <c r="F4" s="1619"/>
      <c r="G4" s="12"/>
      <c r="H4" s="12"/>
      <c r="I4" s="12"/>
      <c r="J4" s="12"/>
      <c r="K4" s="1737" t="str">
        <f>'KEY INPUTS'!D26</f>
        <v>Balance - December 31, 2019</v>
      </c>
      <c r="L4" s="1742"/>
    </row>
    <row r="5" spans="2:21" ht="13.5" customHeight="1">
      <c r="B5" s="1546" t="s">
        <v>656</v>
      </c>
      <c r="C5" s="1546"/>
      <c r="D5" s="1595"/>
      <c r="E5" s="1738"/>
      <c r="F5" s="1739"/>
      <c r="G5" s="20"/>
      <c r="H5" s="20"/>
      <c r="I5" s="20"/>
      <c r="J5" s="20"/>
      <c r="K5" s="1738"/>
      <c r="L5" s="1743"/>
    </row>
    <row r="6" spans="2:21" ht="13.5" customHeight="1">
      <c r="B6" s="1546" t="s">
        <v>657</v>
      </c>
      <c r="C6" s="1546"/>
      <c r="D6" s="1595"/>
      <c r="E6" s="1740"/>
      <c r="F6" s="1741"/>
      <c r="G6" s="20">
        <f>'KEY INPUTS'!D34</f>
        <v>2019</v>
      </c>
      <c r="H6" s="921" t="s">
        <v>280</v>
      </c>
      <c r="I6" s="20" t="s">
        <v>302</v>
      </c>
      <c r="J6" s="20" t="s">
        <v>661</v>
      </c>
      <c r="K6" s="1740"/>
      <c r="L6" s="1744"/>
    </row>
    <row r="7" spans="2:21" ht="13.5" customHeight="1">
      <c r="B7" s="1546" t="s">
        <v>658</v>
      </c>
      <c r="C7" s="1546"/>
      <c r="D7" s="1595"/>
      <c r="E7" s="13" t="s">
        <v>659</v>
      </c>
      <c r="F7" s="13" t="s">
        <v>660</v>
      </c>
      <c r="G7" s="13" t="s">
        <v>661</v>
      </c>
      <c r="H7" s="13"/>
      <c r="I7" s="13"/>
      <c r="J7" s="13" t="s">
        <v>558</v>
      </c>
      <c r="K7" s="13" t="s">
        <v>659</v>
      </c>
      <c r="L7" s="21" t="s">
        <v>660</v>
      </c>
    </row>
    <row r="8" spans="2:21" ht="13.5" customHeight="1" thickBot="1">
      <c r="B8" s="10"/>
      <c r="C8" s="10"/>
      <c r="D8" s="10"/>
      <c r="E8" s="14"/>
      <c r="F8" s="14"/>
      <c r="G8" s="16"/>
      <c r="H8" s="16"/>
      <c r="I8" s="14"/>
      <c r="J8" s="14"/>
      <c r="K8" s="16"/>
      <c r="L8" s="156"/>
    </row>
    <row r="9" spans="2:21" ht="21" customHeight="1" thickTop="1">
      <c r="B9" s="1725" t="s">
        <v>3870</v>
      </c>
      <c r="C9" s="1725"/>
      <c r="D9" s="1726"/>
      <c r="E9" s="635">
        <v>459388.68</v>
      </c>
      <c r="F9" s="635">
        <v>0</v>
      </c>
      <c r="G9" s="635"/>
      <c r="H9" s="635">
        <v>35112.57</v>
      </c>
      <c r="I9" s="635">
        <v>41544.370000000003</v>
      </c>
      <c r="J9" s="635"/>
      <c r="K9" s="372">
        <v>452956.88</v>
      </c>
      <c r="L9" s="1012"/>
    </row>
    <row r="10" spans="2:21" ht="21" customHeight="1">
      <c r="B10" s="1718" t="s">
        <v>3871</v>
      </c>
      <c r="C10" s="1718"/>
      <c r="D10" s="1719"/>
      <c r="E10" s="372">
        <v>29363</v>
      </c>
      <c r="F10" s="372">
        <v>0</v>
      </c>
      <c r="G10" s="372"/>
      <c r="H10" s="372"/>
      <c r="I10" s="372"/>
      <c r="J10" s="372"/>
      <c r="K10" s="372">
        <v>29363</v>
      </c>
      <c r="L10" s="949"/>
      <c r="M10" s="228"/>
      <c r="O10" s="322"/>
      <c r="P10" s="322"/>
      <c r="Q10" s="322"/>
      <c r="R10" s="322"/>
      <c r="S10" s="322"/>
      <c r="T10" s="322"/>
      <c r="U10" s="322"/>
    </row>
    <row r="11" spans="2:21" ht="21" customHeight="1">
      <c r="B11" s="1718" t="s">
        <v>3895</v>
      </c>
      <c r="C11" s="1718"/>
      <c r="D11" s="1719"/>
      <c r="E11" s="372">
        <v>0</v>
      </c>
      <c r="F11" s="372">
        <v>0</v>
      </c>
      <c r="G11" s="372"/>
      <c r="H11" s="372">
        <v>50000</v>
      </c>
      <c r="I11" s="372"/>
      <c r="J11" s="372"/>
      <c r="K11" s="372">
        <v>50000</v>
      </c>
      <c r="L11" s="949"/>
      <c r="O11" s="322"/>
      <c r="P11" s="322"/>
      <c r="Q11" s="322"/>
      <c r="R11" s="322"/>
      <c r="S11" s="322"/>
      <c r="T11" s="322"/>
      <c r="U11" s="322"/>
    </row>
    <row r="12" spans="2:21" ht="21" customHeight="1">
      <c r="B12" s="1718" t="s">
        <v>3896</v>
      </c>
      <c r="C12" s="1718"/>
      <c r="D12" s="1719"/>
      <c r="E12" s="636">
        <v>0</v>
      </c>
      <c r="F12" s="636">
        <v>0</v>
      </c>
      <c r="G12" s="372"/>
      <c r="H12" s="372">
        <v>49860.26</v>
      </c>
      <c r="I12" s="372"/>
      <c r="J12" s="372"/>
      <c r="K12" s="372">
        <v>49860.26</v>
      </c>
      <c r="L12" s="949"/>
      <c r="M12" s="228"/>
      <c r="O12" s="377"/>
      <c r="P12" s="322"/>
      <c r="Q12" s="322"/>
      <c r="R12" s="322"/>
      <c r="S12" s="322"/>
      <c r="T12" s="322"/>
      <c r="U12" s="322"/>
    </row>
    <row r="13" spans="2:21" ht="21" customHeight="1">
      <c r="B13" s="1500" t="s">
        <v>3872</v>
      </c>
      <c r="C13" s="1500"/>
      <c r="D13" s="1501"/>
      <c r="E13" s="372">
        <v>5891.25</v>
      </c>
      <c r="F13" s="372">
        <v>0</v>
      </c>
      <c r="G13" s="372"/>
      <c r="H13" s="372"/>
      <c r="I13" s="372"/>
      <c r="J13" s="372"/>
      <c r="K13" s="372">
        <v>5891.25</v>
      </c>
      <c r="L13" s="949"/>
      <c r="O13" s="322"/>
      <c r="P13" s="322"/>
      <c r="Q13" s="322"/>
      <c r="R13" s="322"/>
      <c r="S13" s="322"/>
      <c r="T13" s="322"/>
      <c r="U13" s="322"/>
    </row>
    <row r="14" spans="2:21" ht="21" customHeight="1">
      <c r="B14" s="1718" t="s">
        <v>3897</v>
      </c>
      <c r="C14" s="1718"/>
      <c r="D14" s="1719"/>
      <c r="E14" s="372">
        <v>0</v>
      </c>
      <c r="F14" s="372">
        <v>0</v>
      </c>
      <c r="G14" s="636"/>
      <c r="H14" s="636">
        <v>60000</v>
      </c>
      <c r="I14" s="636"/>
      <c r="J14" s="636"/>
      <c r="K14" s="372">
        <v>60000</v>
      </c>
      <c r="L14" s="949"/>
      <c r="M14" s="228"/>
      <c r="O14" s="322"/>
      <c r="P14" s="322"/>
      <c r="Q14" s="322"/>
      <c r="R14" s="322"/>
      <c r="S14" s="322"/>
      <c r="T14" s="322"/>
      <c r="U14" s="322"/>
    </row>
    <row r="15" spans="2:21" ht="21" customHeight="1">
      <c r="B15" s="1718" t="s">
        <v>3898</v>
      </c>
      <c r="C15" s="1718"/>
      <c r="D15" s="1719"/>
      <c r="E15" s="372">
        <v>0</v>
      </c>
      <c r="F15" s="372">
        <v>0</v>
      </c>
      <c r="G15" s="372"/>
      <c r="H15" s="372">
        <v>60000</v>
      </c>
      <c r="I15" s="372"/>
      <c r="J15" s="372"/>
      <c r="K15" s="372">
        <v>60000</v>
      </c>
      <c r="L15" s="949"/>
      <c r="O15" s="322"/>
      <c r="P15" s="322"/>
      <c r="Q15" s="322"/>
      <c r="R15" s="322"/>
      <c r="S15" s="322"/>
      <c r="T15" s="322"/>
      <c r="U15" s="322"/>
    </row>
    <row r="16" spans="2:21" ht="21" customHeight="1">
      <c r="B16" s="1500" t="s">
        <v>3873</v>
      </c>
      <c r="C16" s="1500"/>
      <c r="D16" s="1501"/>
      <c r="E16" s="636">
        <v>114947.37</v>
      </c>
      <c r="F16" s="372">
        <v>0</v>
      </c>
      <c r="G16" s="372"/>
      <c r="H16" s="372"/>
      <c r="I16" s="372"/>
      <c r="J16" s="372"/>
      <c r="K16" s="372">
        <v>114947.37</v>
      </c>
      <c r="L16" s="949"/>
      <c r="M16" s="228"/>
      <c r="O16" s="322"/>
      <c r="P16" s="322"/>
      <c r="Q16" s="322"/>
      <c r="R16" s="322"/>
      <c r="S16" s="322"/>
      <c r="T16" s="322"/>
      <c r="U16" s="322"/>
    </row>
    <row r="17" spans="1:21" ht="21" customHeight="1">
      <c r="A17" s="1577" t="s">
        <v>664</v>
      </c>
      <c r="B17" s="1500" t="s">
        <v>3874</v>
      </c>
      <c r="C17" s="1500"/>
      <c r="D17" s="1501"/>
      <c r="E17" s="372">
        <v>51210.75</v>
      </c>
      <c r="F17" s="372">
        <v>0</v>
      </c>
      <c r="G17" s="372"/>
      <c r="H17" s="372">
        <v>60000</v>
      </c>
      <c r="I17" s="372"/>
      <c r="J17" s="372"/>
      <c r="K17" s="372">
        <v>111210.75</v>
      </c>
      <c r="L17" s="949"/>
      <c r="O17" s="322"/>
      <c r="P17" s="322"/>
      <c r="Q17" s="322"/>
      <c r="R17" s="322"/>
      <c r="S17" s="322"/>
      <c r="T17" s="322"/>
      <c r="U17" s="322"/>
    </row>
    <row r="18" spans="1:21" ht="21" customHeight="1">
      <c r="A18" s="1577"/>
      <c r="B18" s="1500" t="s">
        <v>3875</v>
      </c>
      <c r="C18" s="1500"/>
      <c r="D18" s="1501"/>
      <c r="E18" s="372">
        <v>66150.720000000001</v>
      </c>
      <c r="F18" s="372">
        <v>0</v>
      </c>
      <c r="G18" s="372"/>
      <c r="H18" s="372"/>
      <c r="I18" s="372"/>
      <c r="J18" s="372"/>
      <c r="K18" s="372">
        <v>66150.720000000001</v>
      </c>
      <c r="L18" s="949"/>
      <c r="M18" s="228"/>
      <c r="O18" s="322"/>
      <c r="P18" s="322"/>
      <c r="Q18" s="322"/>
      <c r="R18" s="322"/>
      <c r="S18" s="322"/>
      <c r="T18" s="322"/>
      <c r="U18" s="322"/>
    </row>
    <row r="19" spans="1:21" ht="21" customHeight="1">
      <c r="A19" s="1577"/>
      <c r="B19" s="1500" t="s">
        <v>3876</v>
      </c>
      <c r="C19" s="1500"/>
      <c r="D19" s="1501"/>
      <c r="E19" s="372">
        <v>931.98</v>
      </c>
      <c r="F19" s="372">
        <v>0</v>
      </c>
      <c r="G19" s="372"/>
      <c r="H19" s="372"/>
      <c r="I19" s="372"/>
      <c r="J19" s="372"/>
      <c r="K19" s="372">
        <v>931.98</v>
      </c>
      <c r="L19" s="949"/>
      <c r="O19" s="322"/>
      <c r="P19" s="322"/>
      <c r="Q19" s="322"/>
      <c r="R19" s="322"/>
      <c r="S19" s="322"/>
      <c r="T19" s="322"/>
      <c r="U19" s="322"/>
    </row>
    <row r="20" spans="1:21" ht="21" customHeight="1">
      <c r="A20" s="138"/>
      <c r="B20" s="1500" t="s">
        <v>3877</v>
      </c>
      <c r="C20" s="1500"/>
      <c r="D20" s="1501"/>
      <c r="E20" s="372">
        <v>1177.32</v>
      </c>
      <c r="F20" s="372">
        <v>0</v>
      </c>
      <c r="G20" s="372"/>
      <c r="H20" s="372"/>
      <c r="I20" s="372"/>
      <c r="J20" s="372"/>
      <c r="K20" s="372">
        <v>1177.32</v>
      </c>
      <c r="L20" s="949"/>
      <c r="M20" s="228"/>
      <c r="O20" s="322"/>
      <c r="P20" s="322"/>
      <c r="Q20" s="322"/>
      <c r="R20" s="322"/>
      <c r="S20" s="322"/>
      <c r="T20" s="322"/>
      <c r="U20" s="322"/>
    </row>
    <row r="21" spans="1:21" ht="21" customHeight="1">
      <c r="A21" s="138"/>
      <c r="B21" s="1500" t="s">
        <v>3878</v>
      </c>
      <c r="C21" s="1500"/>
      <c r="D21" s="1501"/>
      <c r="E21" s="372">
        <v>11497.4</v>
      </c>
      <c r="F21" s="372">
        <v>0</v>
      </c>
      <c r="G21" s="372"/>
      <c r="H21" s="372">
        <v>26754.33</v>
      </c>
      <c r="I21" s="372">
        <v>112.92</v>
      </c>
      <c r="J21" s="372"/>
      <c r="K21" s="372">
        <v>38138.81</v>
      </c>
      <c r="L21" s="949"/>
      <c r="O21" s="322"/>
      <c r="P21" s="322"/>
      <c r="Q21" s="322"/>
      <c r="R21" s="322"/>
      <c r="S21" s="322"/>
      <c r="T21" s="322"/>
      <c r="U21" s="322"/>
    </row>
    <row r="22" spans="1:21" ht="21" customHeight="1">
      <c r="A22" s="138"/>
      <c r="B22" s="1500" t="s">
        <v>3880</v>
      </c>
      <c r="C22" s="1500"/>
      <c r="D22" s="1501"/>
      <c r="E22" s="372">
        <v>197037.44</v>
      </c>
      <c r="F22" s="372">
        <v>0</v>
      </c>
      <c r="G22" s="372"/>
      <c r="H22" s="372"/>
      <c r="I22" s="372">
        <v>65874.009999999995</v>
      </c>
      <c r="J22" s="372"/>
      <c r="K22" s="372">
        <v>131163.43</v>
      </c>
      <c r="L22" s="949"/>
      <c r="M22" s="228"/>
      <c r="O22" s="322"/>
      <c r="P22" s="322"/>
      <c r="Q22" s="322"/>
      <c r="R22" s="322"/>
      <c r="S22" s="322"/>
      <c r="T22" s="322"/>
      <c r="U22" s="322"/>
    </row>
    <row r="23" spans="1:21" ht="21" customHeight="1">
      <c r="B23" s="1500" t="s">
        <v>3879</v>
      </c>
      <c r="C23" s="1500"/>
      <c r="D23" s="1501"/>
      <c r="E23" s="372">
        <v>63066.66</v>
      </c>
      <c r="F23" s="372">
        <v>0</v>
      </c>
      <c r="G23" s="372"/>
      <c r="H23" s="372">
        <v>50000</v>
      </c>
      <c r="I23" s="372">
        <v>8608.25</v>
      </c>
      <c r="J23" s="372"/>
      <c r="K23" s="372">
        <v>104458.41</v>
      </c>
      <c r="L23" s="949"/>
      <c r="O23" s="322"/>
      <c r="P23" s="322"/>
      <c r="Q23" s="322"/>
      <c r="R23" s="322"/>
      <c r="S23" s="322"/>
      <c r="T23" s="322"/>
      <c r="U23" s="322"/>
    </row>
    <row r="24" spans="1:21" s="322" customFormat="1" ht="21" customHeight="1">
      <c r="B24" s="1500" t="s">
        <v>3881</v>
      </c>
      <c r="C24" s="1500"/>
      <c r="D24" s="1501"/>
      <c r="E24" s="372">
        <v>0</v>
      </c>
      <c r="F24" s="372">
        <v>67355.78</v>
      </c>
      <c r="G24" s="372"/>
      <c r="H24" s="372"/>
      <c r="I24" s="372">
        <v>31249.4</v>
      </c>
      <c r="J24" s="372"/>
      <c r="K24" s="372"/>
      <c r="L24" s="949">
        <v>36106.379999999997</v>
      </c>
    </row>
    <row r="25" spans="1:21" ht="21" customHeight="1">
      <c r="B25" s="1500" t="s">
        <v>3882</v>
      </c>
      <c r="C25" s="1500"/>
      <c r="D25" s="1501"/>
      <c r="E25" s="372">
        <v>0</v>
      </c>
      <c r="F25" s="372">
        <v>50027.6</v>
      </c>
      <c r="G25" s="372"/>
      <c r="H25" s="372">
        <v>54496</v>
      </c>
      <c r="I25" s="372">
        <v>1280</v>
      </c>
      <c r="J25" s="372"/>
      <c r="K25" s="372"/>
      <c r="L25" s="949">
        <v>103243.6</v>
      </c>
      <c r="M25" s="228"/>
      <c r="O25" s="322"/>
      <c r="P25" s="322"/>
      <c r="Q25" s="322"/>
      <c r="R25" s="322"/>
      <c r="S25" s="322"/>
      <c r="T25" s="322"/>
      <c r="U25" s="322"/>
    </row>
    <row r="26" spans="1:21" ht="21" customHeight="1">
      <c r="B26" s="1500" t="s">
        <v>3894</v>
      </c>
      <c r="C26" s="1500"/>
      <c r="D26" s="1501"/>
      <c r="E26" s="372">
        <v>0</v>
      </c>
      <c r="F26" s="372">
        <v>0</v>
      </c>
      <c r="G26" s="372"/>
      <c r="H26" s="372">
        <v>44000</v>
      </c>
      <c r="I26" s="372"/>
      <c r="J26" s="372"/>
      <c r="K26" s="372">
        <v>44000</v>
      </c>
      <c r="L26" s="949"/>
      <c r="O26" s="322"/>
      <c r="P26" s="322"/>
      <c r="Q26" s="322"/>
      <c r="R26" s="322"/>
      <c r="S26" s="322"/>
      <c r="T26" s="322"/>
      <c r="U26" s="322"/>
    </row>
    <row r="27" spans="1:21" ht="21" customHeight="1" thickBot="1">
      <c r="B27" s="1718"/>
      <c r="C27" s="1718"/>
      <c r="D27" s="1719"/>
      <c r="E27" s="637"/>
      <c r="F27" s="637"/>
      <c r="G27" s="637"/>
      <c r="H27" s="637"/>
      <c r="I27" s="637"/>
      <c r="J27" s="637"/>
      <c r="K27" s="637"/>
      <c r="L27" s="1013"/>
      <c r="O27" s="322"/>
      <c r="P27" s="322"/>
      <c r="Q27" s="322"/>
      <c r="R27" s="322"/>
      <c r="S27" s="322"/>
      <c r="T27" s="322"/>
      <c r="U27" s="322"/>
    </row>
    <row r="28" spans="1:21" ht="21" customHeight="1" thickTop="1" thickBot="1">
      <c r="B28" s="148"/>
      <c r="C28" s="27"/>
      <c r="D28" s="77" t="s">
        <v>662</v>
      </c>
      <c r="E28" s="219">
        <f t="shared" ref="E28:L28" si="0">SUM(E9:E27)</f>
        <v>1000662.57</v>
      </c>
      <c r="F28" s="219">
        <f>SUM(F9:F27)</f>
        <v>117383.38</v>
      </c>
      <c r="G28" s="219">
        <f t="shared" si="0"/>
        <v>0</v>
      </c>
      <c r="H28" s="219">
        <f t="shared" si="0"/>
        <v>490223.16000000003</v>
      </c>
      <c r="I28" s="219">
        <f t="shared" si="0"/>
        <v>148668.94999999998</v>
      </c>
      <c r="J28" s="219">
        <f t="shared" si="0"/>
        <v>0</v>
      </c>
      <c r="K28" s="227">
        <f t="shared" si="0"/>
        <v>1320250.1799999997</v>
      </c>
      <c r="L28" s="227">
        <f t="shared" si="0"/>
        <v>139349.98000000001</v>
      </c>
    </row>
    <row r="29" spans="1:21" ht="13.5" customHeight="1" thickTop="1">
      <c r="B29" s="154"/>
      <c r="C29" s="44" t="s">
        <v>663</v>
      </c>
      <c r="D29" s="152"/>
      <c r="E29" s="42"/>
      <c r="F29" s="42"/>
      <c r="G29" s="42"/>
      <c r="H29" s="42"/>
      <c r="I29" s="42"/>
      <c r="J29" s="42"/>
      <c r="K29" s="150"/>
      <c r="L29" s="150"/>
    </row>
    <row r="31" spans="1:21">
      <c r="L31" s="228"/>
    </row>
    <row r="32" spans="1:21">
      <c r="L32" s="228"/>
    </row>
    <row r="33" spans="12:12">
      <c r="L33" s="228"/>
    </row>
  </sheetData>
  <sheetProtection password="CAF9" sheet="1" objects="1" scenarios="1"/>
  <customSheetViews>
    <customSheetView guid="{AC653BD0-46E3-42CB-9C76-32121A57B65A}">
      <selection activeCell="H12" sqref="H12"/>
      <pageMargins left="0.25" right="0.25" top="0.5" bottom="0.5" header="0.25" footer="0.25"/>
      <pageSetup paperSize="5" orientation="landscape" r:id="rId1"/>
      <headerFooter alignWithMargins="0"/>
    </customSheetView>
    <customSheetView guid="{B165479B-DC25-403C-9595-F1A88A4AA9A2}" topLeftCell="A13">
      <selection activeCell="I34" sqref="I34"/>
      <pageMargins left="0.25" right="0.25" top="0.5" bottom="0.5" header="0.25" footer="0.25"/>
      <pageSetup paperSize="5" orientation="landscape" r:id="rId2"/>
      <headerFooter alignWithMargins="0"/>
    </customSheetView>
    <customSheetView guid="{A64E4C9E-A3DA-4AAA-8607-F524450B9436}" topLeftCell="A13">
      <selection activeCell="I34" sqref="I34"/>
      <pageMargins left="0.25" right="0.25" top="0.5" bottom="0.5" header="0.25" footer="0.25"/>
      <pageSetup paperSize="5" orientation="landscape" r:id="rId3"/>
      <headerFooter alignWithMargins="0"/>
    </customSheetView>
    <customSheetView guid="{AB4FBD91-4533-473A-9702-569FF6402073}" topLeftCell="A13">
      <selection activeCell="I34" sqref="I34"/>
      <pageMargins left="0.25" right="0.25" top="0.5" bottom="0.5" header="0.25" footer="0.25"/>
      <pageSetup paperSize="5" orientation="landscape" r:id="rId4"/>
      <headerFooter alignWithMargins="0"/>
    </customSheetView>
  </customSheetViews>
  <mergeCells count="15">
    <mergeCell ref="B27:D27"/>
    <mergeCell ref="B2:L2"/>
    <mergeCell ref="B3:L3"/>
    <mergeCell ref="A17:A19"/>
    <mergeCell ref="B5:D5"/>
    <mergeCell ref="B6:D6"/>
    <mergeCell ref="B7:D7"/>
    <mergeCell ref="E4:F6"/>
    <mergeCell ref="K4:L6"/>
    <mergeCell ref="B9:D9"/>
    <mergeCell ref="B10:D10"/>
    <mergeCell ref="B11:D11"/>
    <mergeCell ref="B12:D12"/>
    <mergeCell ref="B14:D14"/>
    <mergeCell ref="B15:D15"/>
  </mergeCells>
  <phoneticPr fontId="0" type="noConversion"/>
  <pageMargins left="0.25" right="0.25" top="0.5" bottom="0.5" header="0.25" footer="0.25"/>
  <pageSetup paperSize="5" scale="60" orientation="portrait" r:id="rId5"/>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0">
    <pageSetUpPr fitToPage="1"/>
  </sheetPr>
  <dimension ref="A1:T38"/>
  <sheetViews>
    <sheetView topLeftCell="A25" zoomScaleNormal="100" workbookViewId="0">
      <selection activeCell="B3" sqref="B3:O3"/>
    </sheetView>
  </sheetViews>
  <sheetFormatPr defaultRowHeight="13.2"/>
  <cols>
    <col min="1" max="1" width="5.6640625" customWidth="1"/>
    <col min="2" max="3" width="4.88671875" customWidth="1"/>
    <col min="4" max="4" width="30.6640625" customWidth="1"/>
    <col min="5" max="12" width="15.6640625" customWidth="1"/>
    <col min="13" max="13" width="15.33203125" customWidth="1"/>
  </cols>
  <sheetData>
    <row r="1" spans="1:20" ht="8.25" customHeight="1"/>
    <row r="2" spans="1:20" ht="20.399999999999999">
      <c r="B2" s="1508" t="s">
        <v>665</v>
      </c>
      <c r="C2" s="1508"/>
      <c r="D2" s="1508"/>
      <c r="E2" s="1508"/>
      <c r="F2" s="1508"/>
      <c r="G2" s="1508"/>
      <c r="H2" s="1508"/>
      <c r="I2" s="1508"/>
      <c r="J2" s="1508"/>
      <c r="K2" s="1508"/>
      <c r="L2" s="1508"/>
    </row>
    <row r="3" spans="1:20" ht="9.75" customHeight="1" thickBot="1">
      <c r="B3" s="1508"/>
      <c r="C3" s="1508"/>
      <c r="D3" s="1508"/>
      <c r="E3" s="1508"/>
      <c r="F3" s="1508"/>
      <c r="G3" s="1508"/>
      <c r="H3" s="1508"/>
      <c r="I3" s="1508"/>
      <c r="J3" s="1508"/>
      <c r="K3" s="1508"/>
      <c r="L3" s="1508"/>
    </row>
    <row r="4" spans="1:20" ht="13.5" customHeight="1" thickTop="1">
      <c r="B4" s="11"/>
      <c r="C4" s="11"/>
      <c r="D4" s="11"/>
      <c r="E4" s="1737" t="str">
        <f>'35- Cap Fund Imprv Auth'!E4:F6</f>
        <v>Balance - January 1, 2019</v>
      </c>
      <c r="F4" s="1619"/>
      <c r="G4" s="12"/>
      <c r="H4" s="12"/>
      <c r="I4" s="12"/>
      <c r="J4" s="12"/>
      <c r="K4" s="1737" t="str">
        <f>'35- Cap Fund Imprv Auth'!K4:L6</f>
        <v>Balance - December 31, 2019</v>
      </c>
      <c r="L4" s="1742"/>
    </row>
    <row r="5" spans="1:20" ht="13.5" customHeight="1">
      <c r="B5" s="1546" t="s">
        <v>656</v>
      </c>
      <c r="C5" s="1546"/>
      <c r="D5" s="1595"/>
      <c r="E5" s="1738"/>
      <c r="F5" s="1739"/>
      <c r="G5" s="20"/>
      <c r="H5" s="20"/>
      <c r="I5" s="20"/>
      <c r="J5" s="20"/>
      <c r="K5" s="1738"/>
      <c r="L5" s="1743"/>
    </row>
    <row r="6" spans="1:20" ht="13.5" customHeight="1">
      <c r="B6" s="1546" t="s">
        <v>657</v>
      </c>
      <c r="C6" s="1546"/>
      <c r="D6" s="1595"/>
      <c r="E6" s="1740"/>
      <c r="F6" s="1741"/>
      <c r="G6" s="20">
        <f>'KEY INPUTS'!D34</f>
        <v>2019</v>
      </c>
      <c r="H6" s="921" t="s">
        <v>280</v>
      </c>
      <c r="I6" s="20" t="s">
        <v>302</v>
      </c>
      <c r="J6" s="20" t="s">
        <v>661</v>
      </c>
      <c r="K6" s="1740"/>
      <c r="L6" s="1744"/>
    </row>
    <row r="7" spans="1:20" ht="13.5" customHeight="1">
      <c r="B7" s="1546" t="s">
        <v>658</v>
      </c>
      <c r="C7" s="1546"/>
      <c r="D7" s="1595"/>
      <c r="E7" s="13" t="s">
        <v>659</v>
      </c>
      <c r="F7" s="13" t="s">
        <v>660</v>
      </c>
      <c r="G7" s="13" t="s">
        <v>661</v>
      </c>
      <c r="H7" s="282"/>
      <c r="I7" s="13"/>
      <c r="J7" s="13" t="s">
        <v>558</v>
      </c>
      <c r="K7" s="13" t="s">
        <v>659</v>
      </c>
      <c r="L7" s="21" t="s">
        <v>660</v>
      </c>
    </row>
    <row r="8" spans="1:20" ht="13.5" customHeight="1" thickBot="1">
      <c r="B8" s="10"/>
      <c r="C8" s="10"/>
      <c r="D8" s="10"/>
      <c r="E8" s="14"/>
      <c r="F8" s="14"/>
      <c r="G8" s="16"/>
      <c r="H8" s="16"/>
      <c r="I8" s="14"/>
      <c r="J8" s="14"/>
      <c r="K8" s="16"/>
      <c r="L8" s="156"/>
    </row>
    <row r="9" spans="1:20" ht="21" customHeight="1" thickTop="1">
      <c r="B9" s="229" t="s">
        <v>3546</v>
      </c>
      <c r="C9" s="22"/>
      <c r="D9" s="23"/>
      <c r="E9" s="224">
        <f>'35- Cap Fund Imprv Auth'!E28</f>
        <v>1000662.57</v>
      </c>
      <c r="F9" s="224">
        <f>'35- Cap Fund Imprv Auth'!F28</f>
        <v>117383.38</v>
      </c>
      <c r="G9" s="224">
        <f>+'35- Cap Fund Imprv Auth'!G28</f>
        <v>0</v>
      </c>
      <c r="H9" s="224">
        <f>+'35- Cap Fund Imprv Auth'!H28</f>
        <v>490223.16000000003</v>
      </c>
      <c r="I9" s="224">
        <f>+'35- Cap Fund Imprv Auth'!I28</f>
        <v>148668.94999999998</v>
      </c>
      <c r="J9" s="224">
        <f>+'35- Cap Fund Imprv Auth'!J28</f>
        <v>0</v>
      </c>
      <c r="K9" s="224">
        <f>+'35- Cap Fund Imprv Auth'!K28</f>
        <v>1320250.1799999997</v>
      </c>
      <c r="L9" s="225">
        <f>+'35- Cap Fund Imprv Auth'!L28</f>
        <v>139349.98000000001</v>
      </c>
    </row>
    <row r="10" spans="1:20" ht="21" customHeight="1">
      <c r="B10" s="1500" t="s">
        <v>3883</v>
      </c>
      <c r="C10" s="1500"/>
      <c r="D10" s="1501"/>
      <c r="E10" s="372">
        <v>0</v>
      </c>
      <c r="F10" s="372">
        <v>132701.04</v>
      </c>
      <c r="G10" s="372"/>
      <c r="H10" s="372">
        <v>25660</v>
      </c>
      <c r="I10" s="372">
        <v>62084.31</v>
      </c>
      <c r="J10" s="372"/>
      <c r="K10" s="372"/>
      <c r="L10" s="949">
        <v>96276.73</v>
      </c>
      <c r="N10" s="322"/>
      <c r="O10" s="322"/>
      <c r="P10" s="322"/>
      <c r="Q10" s="322"/>
      <c r="R10" s="322"/>
      <c r="S10" s="322"/>
      <c r="T10" s="322"/>
    </row>
    <row r="11" spans="1:20" ht="21" customHeight="1">
      <c r="B11" s="1500" t="s">
        <v>3884</v>
      </c>
      <c r="C11" s="1500"/>
      <c r="D11" s="1501"/>
      <c r="E11" s="372">
        <v>0</v>
      </c>
      <c r="F11" s="372">
        <v>22304.71</v>
      </c>
      <c r="G11" s="372"/>
      <c r="H11" s="372">
        <v>753568.47</v>
      </c>
      <c r="I11" s="372">
        <v>753317.94</v>
      </c>
      <c r="J11" s="372"/>
      <c r="K11" s="372"/>
      <c r="L11" s="949">
        <v>22555.24</v>
      </c>
      <c r="N11" s="322"/>
      <c r="O11" s="322"/>
      <c r="P11" s="322"/>
      <c r="Q11" s="322"/>
      <c r="R11" s="322"/>
      <c r="S11" s="322"/>
      <c r="T11" s="322"/>
    </row>
    <row r="12" spans="1:20" ht="21" customHeight="1">
      <c r="A12" s="1577" t="s">
        <v>3797</v>
      </c>
      <c r="B12" s="1500" t="s">
        <v>3885</v>
      </c>
      <c r="C12" s="1500"/>
      <c r="D12" s="1501"/>
      <c r="E12" s="372">
        <v>314.77</v>
      </c>
      <c r="F12" s="372">
        <v>0</v>
      </c>
      <c r="G12" s="372"/>
      <c r="H12" s="372">
        <v>1978.07</v>
      </c>
      <c r="I12" s="372"/>
      <c r="J12" s="372"/>
      <c r="K12" s="372">
        <v>2292.84</v>
      </c>
      <c r="L12" s="949"/>
      <c r="M12" s="228"/>
      <c r="N12" s="322"/>
      <c r="O12" s="322"/>
      <c r="P12" s="322"/>
      <c r="Q12" s="322"/>
      <c r="R12" s="322"/>
      <c r="S12" s="322"/>
      <c r="T12" s="322"/>
    </row>
    <row r="13" spans="1:20" ht="21" customHeight="1">
      <c r="A13" s="1577"/>
      <c r="B13" s="1500" t="s">
        <v>3886</v>
      </c>
      <c r="C13" s="1500"/>
      <c r="D13" s="1501"/>
      <c r="E13" s="372">
        <v>0</v>
      </c>
      <c r="F13" s="372">
        <v>907843.66</v>
      </c>
      <c r="G13" s="372"/>
      <c r="H13" s="372">
        <v>443156.34</v>
      </c>
      <c r="I13" s="372">
        <v>502995.46</v>
      </c>
      <c r="J13" s="372"/>
      <c r="K13" s="372"/>
      <c r="L13" s="949">
        <v>848004.54</v>
      </c>
      <c r="N13" s="322"/>
      <c r="O13" s="322"/>
      <c r="P13" s="322"/>
      <c r="Q13" s="322"/>
      <c r="R13" s="322"/>
      <c r="S13" s="322"/>
      <c r="T13" s="322"/>
    </row>
    <row r="14" spans="1:20" s="322" customFormat="1" ht="21" customHeight="1">
      <c r="A14" s="1577"/>
      <c r="B14" s="1718" t="s">
        <v>3899</v>
      </c>
      <c r="C14" s="1718"/>
      <c r="D14" s="1719"/>
      <c r="E14" s="372">
        <v>0</v>
      </c>
      <c r="F14" s="372">
        <v>0</v>
      </c>
      <c r="G14" s="372">
        <v>50000</v>
      </c>
      <c r="H14" s="372"/>
      <c r="I14" s="372">
        <v>3500</v>
      </c>
      <c r="J14" s="372"/>
      <c r="K14" s="372">
        <v>46500</v>
      </c>
      <c r="L14" s="949"/>
    </row>
    <row r="15" spans="1:20" s="322" customFormat="1" ht="21" customHeight="1">
      <c r="A15" s="1577"/>
      <c r="B15" s="1718" t="s">
        <v>3900</v>
      </c>
      <c r="C15" s="1718"/>
      <c r="D15" s="1719"/>
      <c r="E15" s="372">
        <v>0</v>
      </c>
      <c r="F15" s="372">
        <v>0</v>
      </c>
      <c r="G15" s="372">
        <v>1653000</v>
      </c>
      <c r="H15" s="372"/>
      <c r="I15" s="372">
        <v>1038578.42</v>
      </c>
      <c r="J15" s="372"/>
      <c r="K15" s="372"/>
      <c r="L15" s="949">
        <v>614421.57999999996</v>
      </c>
    </row>
    <row r="16" spans="1:20" s="322" customFormat="1" ht="21" customHeight="1">
      <c r="A16" s="1577"/>
      <c r="B16" s="1718"/>
      <c r="C16" s="1718"/>
      <c r="D16" s="1719"/>
      <c r="E16" s="372"/>
      <c r="F16" s="372"/>
      <c r="G16" s="372"/>
      <c r="H16" s="372"/>
      <c r="I16" s="372"/>
      <c r="J16" s="372"/>
      <c r="K16" s="372"/>
      <c r="L16" s="949"/>
    </row>
    <row r="17" spans="1:20" s="322" customFormat="1" ht="21" customHeight="1">
      <c r="A17" s="1577"/>
      <c r="B17" s="1718"/>
      <c r="C17" s="1718"/>
      <c r="D17" s="1719"/>
      <c r="E17" s="372"/>
      <c r="F17" s="372"/>
      <c r="G17" s="372"/>
      <c r="H17" s="372"/>
      <c r="I17" s="372"/>
      <c r="J17" s="372"/>
      <c r="K17" s="372"/>
      <c r="L17" s="949"/>
    </row>
    <row r="18" spans="1:20" s="322" customFormat="1" ht="21" customHeight="1">
      <c r="A18" s="1577"/>
      <c r="B18" s="1718"/>
      <c r="C18" s="1718"/>
      <c r="D18" s="1719"/>
      <c r="E18" s="372"/>
      <c r="F18" s="372"/>
      <c r="G18" s="372"/>
      <c r="H18" s="372"/>
      <c r="I18" s="372"/>
      <c r="J18" s="372"/>
      <c r="K18" s="372"/>
      <c r="L18" s="949"/>
    </row>
    <row r="19" spans="1:20" s="322" customFormat="1" ht="21" customHeight="1">
      <c r="A19" s="1577"/>
      <c r="B19" s="1718"/>
      <c r="C19" s="1718"/>
      <c r="D19" s="1719"/>
      <c r="E19" s="372"/>
      <c r="F19" s="372"/>
      <c r="G19" s="372"/>
      <c r="H19" s="372"/>
      <c r="I19" s="372"/>
      <c r="J19" s="372"/>
      <c r="K19" s="372"/>
      <c r="L19" s="949"/>
    </row>
    <row r="20" spans="1:20" s="322" customFormat="1" ht="21" customHeight="1">
      <c r="A20" s="1577"/>
      <c r="B20" s="1718"/>
      <c r="C20" s="1718"/>
      <c r="D20" s="1719"/>
      <c r="E20" s="372"/>
      <c r="F20" s="372"/>
      <c r="G20" s="372"/>
      <c r="H20" s="372"/>
      <c r="I20" s="372"/>
      <c r="J20" s="372"/>
      <c r="K20" s="372"/>
      <c r="L20" s="949"/>
    </row>
    <row r="21" spans="1:20" s="322" customFormat="1" ht="21" customHeight="1">
      <c r="A21" s="1577"/>
      <c r="B21" s="1718"/>
      <c r="C21" s="1718"/>
      <c r="D21" s="1719"/>
      <c r="E21" s="372"/>
      <c r="F21" s="372"/>
      <c r="G21" s="372"/>
      <c r="H21" s="372"/>
      <c r="I21" s="372"/>
      <c r="J21" s="372"/>
      <c r="K21" s="372"/>
      <c r="L21" s="949"/>
    </row>
    <row r="22" spans="1:20" s="322" customFormat="1" ht="21" customHeight="1">
      <c r="A22" s="1577"/>
      <c r="B22" s="1718"/>
      <c r="C22" s="1718"/>
      <c r="D22" s="1719"/>
      <c r="E22" s="372"/>
      <c r="F22" s="372"/>
      <c r="G22" s="372"/>
      <c r="H22" s="372"/>
      <c r="I22" s="372"/>
      <c r="J22" s="372"/>
      <c r="K22" s="372"/>
      <c r="L22" s="949"/>
    </row>
    <row r="23" spans="1:20" s="322" customFormat="1" ht="21" customHeight="1">
      <c r="A23" s="1577"/>
      <c r="B23" s="1718"/>
      <c r="C23" s="1718"/>
      <c r="D23" s="1719"/>
      <c r="E23" s="372"/>
      <c r="F23" s="372"/>
      <c r="G23" s="372"/>
      <c r="H23" s="372"/>
      <c r="I23" s="372"/>
      <c r="J23" s="372"/>
      <c r="K23" s="372"/>
      <c r="L23" s="949"/>
    </row>
    <row r="24" spans="1:20" ht="21" customHeight="1">
      <c r="A24" s="1577"/>
      <c r="B24" s="1718"/>
      <c r="C24" s="1718"/>
      <c r="D24" s="1719"/>
      <c r="E24" s="372"/>
      <c r="F24" s="372"/>
      <c r="G24" s="372"/>
      <c r="H24" s="372"/>
      <c r="I24" s="372"/>
      <c r="J24" s="372"/>
      <c r="K24" s="372"/>
      <c r="L24" s="949"/>
      <c r="M24" s="228"/>
      <c r="N24" s="322"/>
      <c r="O24" s="322"/>
      <c r="P24" s="322"/>
      <c r="Q24" s="322"/>
      <c r="R24" s="322"/>
      <c r="S24" s="322"/>
      <c r="T24" s="322"/>
    </row>
    <row r="25" spans="1:20" ht="21" customHeight="1">
      <c r="B25" s="1718"/>
      <c r="C25" s="1718"/>
      <c r="D25" s="1719"/>
      <c r="E25" s="372"/>
      <c r="F25" s="372"/>
      <c r="G25" s="372"/>
      <c r="H25" s="372"/>
      <c r="I25" s="372"/>
      <c r="J25" s="372"/>
      <c r="K25" s="372"/>
      <c r="L25" s="949"/>
      <c r="N25" s="322"/>
      <c r="O25" s="322"/>
      <c r="P25" s="322"/>
      <c r="Q25" s="322"/>
      <c r="R25" s="322"/>
      <c r="S25" s="322"/>
      <c r="T25" s="322"/>
    </row>
    <row r="26" spans="1:20" ht="21" customHeight="1">
      <c r="B26" s="1718"/>
      <c r="C26" s="1718"/>
      <c r="D26" s="1719"/>
      <c r="E26" s="372"/>
      <c r="F26" s="372"/>
      <c r="G26" s="372"/>
      <c r="H26" s="372"/>
      <c r="I26" s="372"/>
      <c r="J26" s="372"/>
      <c r="K26" s="372"/>
      <c r="L26" s="949"/>
      <c r="N26" s="322"/>
      <c r="O26" s="322"/>
      <c r="P26" s="322"/>
      <c r="Q26" s="322"/>
      <c r="R26" s="322"/>
      <c r="S26" s="322"/>
      <c r="T26" s="322"/>
    </row>
    <row r="27" spans="1:20" ht="21" customHeight="1" thickBot="1">
      <c r="B27" s="1718"/>
      <c r="C27" s="1718"/>
      <c r="D27" s="1719"/>
      <c r="E27" s="637"/>
      <c r="F27" s="637"/>
      <c r="G27" s="637"/>
      <c r="H27" s="637"/>
      <c r="I27" s="637"/>
      <c r="J27" s="637"/>
      <c r="K27" s="637"/>
      <c r="L27" s="1013"/>
      <c r="N27" s="322"/>
      <c r="O27" s="322"/>
      <c r="P27" s="322"/>
      <c r="Q27" s="322"/>
      <c r="R27" s="322"/>
      <c r="S27" s="322"/>
      <c r="T27" s="322"/>
    </row>
    <row r="28" spans="1:20" ht="21" customHeight="1" thickTop="1" thickBot="1">
      <c r="B28" s="148"/>
      <c r="C28" s="27"/>
      <c r="D28" s="795" t="s">
        <v>3545</v>
      </c>
      <c r="E28" s="219">
        <f>SUM(E9:E27)</f>
        <v>1000977.34</v>
      </c>
      <c r="F28" s="219">
        <f>SUM(F9:F27)</f>
        <v>1180232.79</v>
      </c>
      <c r="G28" s="219">
        <f t="shared" ref="G28:K28" si="0">SUM(G9:G27)</f>
        <v>1703000</v>
      </c>
      <c r="H28" s="219">
        <f t="shared" si="0"/>
        <v>1714586.04</v>
      </c>
      <c r="I28" s="219">
        <f t="shared" si="0"/>
        <v>2509145.08</v>
      </c>
      <c r="J28" s="219">
        <f t="shared" si="0"/>
        <v>0</v>
      </c>
      <c r="K28" s="219">
        <f t="shared" si="0"/>
        <v>1369043.0199999998</v>
      </c>
      <c r="L28" s="227">
        <f>SUM(L9:L27)</f>
        <v>1720608.0699999998</v>
      </c>
    </row>
    <row r="29" spans="1:20" ht="13.5" customHeight="1" thickTop="1">
      <c r="B29" s="154"/>
      <c r="C29" s="44" t="s">
        <v>663</v>
      </c>
      <c r="D29" s="152"/>
      <c r="E29" s="42"/>
      <c r="F29" s="42"/>
      <c r="G29" s="42"/>
      <c r="H29" s="42"/>
      <c r="I29" s="42"/>
      <c r="J29" s="42"/>
      <c r="K29" s="150"/>
      <c r="L29" s="150"/>
    </row>
    <row r="30" spans="1:20">
      <c r="K30" s="228"/>
      <c r="L30" s="287"/>
    </row>
    <row r="33" spans="5:12">
      <c r="E33" s="325"/>
      <c r="F33" s="325"/>
    </row>
    <row r="34" spans="5:12">
      <c r="K34" s="325"/>
      <c r="L34" s="325"/>
    </row>
    <row r="35" spans="5:12">
      <c r="L35" s="228"/>
    </row>
    <row r="36" spans="5:12">
      <c r="L36" s="228"/>
    </row>
    <row r="38" spans="5:12">
      <c r="L38" s="325"/>
    </row>
  </sheetData>
  <sheetProtection algorithmName="SHA-512" hashValue="kO2OuXY7TcBEb9G7oVP9lZZacYtAMgrhYnGLhhlEog30kOUfY4UX9xNEybd5/DyYQBDje1DCo1esrXX7sFCtcQ==" saltValue="Ap6o2VUH0he4SQiOkHI/yg==" spinCount="100000" sheet="1" objects="1" scenarios="1"/>
  <customSheetViews>
    <customSheetView guid="{AC653BD0-46E3-42CB-9C76-32121A57B65A}">
      <selection activeCell="G22" sqref="G22"/>
      <pageMargins left="0.25" right="0.25" top="0.5" bottom="0.5" header="0.25" footer="0.25"/>
      <pageSetup paperSize="5" orientation="landscape" r:id="rId1"/>
      <headerFooter alignWithMargins="0"/>
    </customSheetView>
    <customSheetView guid="{B165479B-DC25-403C-9595-F1A88A4AA9A2}">
      <selection activeCell="H32" sqref="H32"/>
      <pageMargins left="0.25" right="0.25" top="0.5" bottom="0.5" header="0.25" footer="0.25"/>
      <pageSetup paperSize="5" orientation="landscape" r:id="rId2"/>
      <headerFooter alignWithMargins="0"/>
    </customSheetView>
    <customSheetView guid="{A64E4C9E-A3DA-4AAA-8607-F524450B9436}">
      <selection activeCell="H32" sqref="H32"/>
      <pageMargins left="0.25" right="0.25" top="0.5" bottom="0.5" header="0.25" footer="0.25"/>
      <pageSetup paperSize="5" orientation="landscape" r:id="rId3"/>
      <headerFooter alignWithMargins="0"/>
    </customSheetView>
    <customSheetView guid="{AB4FBD91-4533-473A-9702-569FF6402073}">
      <selection activeCell="H32" sqref="H32"/>
      <pageMargins left="0.25" right="0.25" top="0.5" bottom="0.5" header="0.25" footer="0.25"/>
      <pageSetup paperSize="5" orientation="landscape" r:id="rId4"/>
      <headerFooter alignWithMargins="0"/>
    </customSheetView>
  </customSheetViews>
  <mergeCells count="22">
    <mergeCell ref="B2:L2"/>
    <mergeCell ref="B3:L3"/>
    <mergeCell ref="A12:A24"/>
    <mergeCell ref="B5:D5"/>
    <mergeCell ref="B6:D6"/>
    <mergeCell ref="B7:D7"/>
    <mergeCell ref="E4:F6"/>
    <mergeCell ref="K4:L6"/>
    <mergeCell ref="B14:D14"/>
    <mergeCell ref="B15:D15"/>
    <mergeCell ref="B16:D16"/>
    <mergeCell ref="B17:D17"/>
    <mergeCell ref="B18:D18"/>
    <mergeCell ref="B19:D19"/>
    <mergeCell ref="B20:D20"/>
    <mergeCell ref="B27:D27"/>
    <mergeCell ref="B26:D26"/>
    <mergeCell ref="B21:D21"/>
    <mergeCell ref="B22:D22"/>
    <mergeCell ref="B23:D23"/>
    <mergeCell ref="B24:D24"/>
    <mergeCell ref="B25:D25"/>
  </mergeCells>
  <phoneticPr fontId="0" type="noConversion"/>
  <pageMargins left="0.25" right="0.25" top="0.5" bottom="0.5" header="0.25" footer="0.25"/>
  <pageSetup paperSize="5" scale="60" orientation="portrait" r:id="rId5"/>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1"/>
  <dimension ref="A1:M38"/>
  <sheetViews>
    <sheetView zoomScaleNormal="100" workbookViewId="0">
      <selection activeCell="B1" sqref="B1"/>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5.33203125" style="322" customWidth="1"/>
    <col min="14" max="16384" width="9.109375" style="322"/>
  </cols>
  <sheetData>
    <row r="1" spans="1:13" ht="8.25" customHeight="1"/>
    <row r="2" spans="1:13" ht="20.399999999999999">
      <c r="B2" s="1508" t="s">
        <v>665</v>
      </c>
      <c r="C2" s="1508"/>
      <c r="D2" s="1508"/>
      <c r="E2" s="1508"/>
      <c r="F2" s="1508"/>
      <c r="G2" s="1508"/>
      <c r="H2" s="1508"/>
      <c r="I2" s="1508"/>
      <c r="J2" s="1508"/>
      <c r="K2" s="1508"/>
      <c r="L2" s="1508"/>
    </row>
    <row r="3" spans="1:13" ht="9.75" customHeight="1" thickBot="1">
      <c r="B3" s="1508"/>
      <c r="C3" s="1508"/>
      <c r="D3" s="1508"/>
      <c r="E3" s="1508"/>
      <c r="F3" s="1508"/>
      <c r="G3" s="1508"/>
      <c r="H3" s="1508"/>
      <c r="I3" s="1508"/>
      <c r="J3" s="1508"/>
      <c r="K3" s="1508"/>
      <c r="L3" s="1508"/>
    </row>
    <row r="4" spans="1:13" ht="13.5" customHeight="1" thickTop="1">
      <c r="B4" s="11"/>
      <c r="C4" s="11"/>
      <c r="D4" s="11"/>
      <c r="E4" s="1737" t="str">
        <f>'35- Cap Fund Imprv Auth'!E4:F6</f>
        <v>Balance - January 1, 2019</v>
      </c>
      <c r="F4" s="1619"/>
      <c r="G4" s="12"/>
      <c r="H4" s="12"/>
      <c r="I4" s="12"/>
      <c r="J4" s="12"/>
      <c r="K4" s="1737" t="str">
        <f>'35- Cap Fund Imprv Auth'!K4:L6</f>
        <v>Balance - December 31, 2019</v>
      </c>
      <c r="L4" s="1742"/>
    </row>
    <row r="5" spans="1:13" ht="13.5" customHeight="1">
      <c r="B5" s="1546" t="s">
        <v>656</v>
      </c>
      <c r="C5" s="1546"/>
      <c r="D5" s="1595"/>
      <c r="E5" s="1738"/>
      <c r="F5" s="1739"/>
      <c r="G5" s="758"/>
      <c r="H5" s="758"/>
      <c r="I5" s="758"/>
      <c r="J5" s="758"/>
      <c r="K5" s="1738"/>
      <c r="L5" s="1743"/>
    </row>
    <row r="6" spans="1:13" ht="13.5" customHeight="1">
      <c r="B6" s="1546" t="s">
        <v>657</v>
      </c>
      <c r="C6" s="1546"/>
      <c r="D6" s="1595"/>
      <c r="E6" s="1740"/>
      <c r="F6" s="1741"/>
      <c r="G6" s="758">
        <f>'KEY INPUTS'!D34</f>
        <v>2019</v>
      </c>
      <c r="H6" s="921" t="s">
        <v>280</v>
      </c>
      <c r="I6" s="758" t="s">
        <v>302</v>
      </c>
      <c r="J6" s="758" t="s">
        <v>661</v>
      </c>
      <c r="K6" s="1740"/>
      <c r="L6" s="1744"/>
    </row>
    <row r="7" spans="1:13" ht="13.5" customHeight="1">
      <c r="B7" s="1546" t="s">
        <v>658</v>
      </c>
      <c r="C7" s="1546"/>
      <c r="D7" s="1595"/>
      <c r="E7" s="282" t="s">
        <v>659</v>
      </c>
      <c r="F7" s="282" t="s">
        <v>660</v>
      </c>
      <c r="G7" s="282" t="s">
        <v>661</v>
      </c>
      <c r="H7" s="282"/>
      <c r="I7" s="282"/>
      <c r="J7" s="282" t="s">
        <v>558</v>
      </c>
      <c r="K7" s="282" t="s">
        <v>659</v>
      </c>
      <c r="L7" s="21" t="s">
        <v>660</v>
      </c>
    </row>
    <row r="8" spans="1:13" ht="13.5" customHeight="1" thickBot="1">
      <c r="B8" s="10"/>
      <c r="C8" s="10"/>
      <c r="D8" s="10"/>
      <c r="E8" s="14"/>
      <c r="F8" s="14"/>
      <c r="G8" s="16"/>
      <c r="H8" s="16"/>
      <c r="I8" s="14"/>
      <c r="J8" s="14"/>
      <c r="K8" s="16"/>
      <c r="L8" s="156"/>
    </row>
    <row r="9" spans="1:13" ht="21" customHeight="1" thickTop="1">
      <c r="B9" s="229" t="s">
        <v>3546</v>
      </c>
      <c r="C9" s="283"/>
      <c r="D9" s="23"/>
      <c r="E9" s="224">
        <f>+'35.1- Cap Fund Imprv Auth '!E28</f>
        <v>1000977.34</v>
      </c>
      <c r="F9" s="224">
        <f>+'35.1- Cap Fund Imprv Auth '!F28</f>
        <v>1180232.79</v>
      </c>
      <c r="G9" s="224">
        <f>+'35.1- Cap Fund Imprv Auth '!G28</f>
        <v>1703000</v>
      </c>
      <c r="H9" s="224">
        <f>+'35- Cap Fund Imprv Auth'!H28</f>
        <v>490223.16000000003</v>
      </c>
      <c r="I9" s="224">
        <f>+'35.1- Cap Fund Imprv Auth '!I28</f>
        <v>2509145.08</v>
      </c>
      <c r="J9" s="224">
        <f>+'35.1- Cap Fund Imprv Auth '!J28</f>
        <v>0</v>
      </c>
      <c r="K9" s="224">
        <f>+'35.1- Cap Fund Imprv Auth '!K28</f>
        <v>1369043.0199999998</v>
      </c>
      <c r="L9" s="225">
        <f>+'35.1- Cap Fund Imprv Auth '!L28</f>
        <v>1720608.0699999998</v>
      </c>
    </row>
    <row r="10" spans="1:13" ht="21" customHeight="1">
      <c r="B10" s="1745"/>
      <c r="C10" s="1745"/>
      <c r="D10" s="1746"/>
      <c r="E10" s="584"/>
      <c r="F10" s="584"/>
      <c r="G10" s="584"/>
      <c r="H10" s="584"/>
      <c r="I10" s="584"/>
      <c r="J10" s="584"/>
      <c r="K10" s="584"/>
      <c r="L10" s="1014"/>
    </row>
    <row r="11" spans="1:13" ht="21" customHeight="1">
      <c r="B11" s="1745"/>
      <c r="C11" s="1745"/>
      <c r="D11" s="1746"/>
      <c r="E11" s="584"/>
      <c r="F11" s="584"/>
      <c r="G11" s="584"/>
      <c r="H11" s="584"/>
      <c r="I11" s="584"/>
      <c r="J11" s="584"/>
      <c r="K11" s="584"/>
      <c r="L11" s="1014"/>
    </row>
    <row r="12" spans="1:13" ht="21" customHeight="1">
      <c r="A12" s="1577" t="s">
        <v>3627</v>
      </c>
      <c r="B12" s="1745"/>
      <c r="C12" s="1745"/>
      <c r="D12" s="1746"/>
      <c r="E12" s="584"/>
      <c r="F12" s="584"/>
      <c r="G12" s="584"/>
      <c r="H12" s="584"/>
      <c r="I12" s="584"/>
      <c r="J12" s="584"/>
      <c r="K12" s="584"/>
      <c r="L12" s="1014"/>
      <c r="M12" s="325"/>
    </row>
    <row r="13" spans="1:13" ht="21" customHeight="1">
      <c r="A13" s="1577"/>
      <c r="B13" s="1745"/>
      <c r="C13" s="1745"/>
      <c r="D13" s="1746"/>
      <c r="E13" s="584"/>
      <c r="F13" s="584"/>
      <c r="G13" s="584"/>
      <c r="H13" s="584"/>
      <c r="I13" s="584"/>
      <c r="J13" s="584"/>
      <c r="K13" s="584"/>
      <c r="L13" s="1014"/>
    </row>
    <row r="14" spans="1:13" ht="21" customHeight="1">
      <c r="A14" s="1577"/>
      <c r="B14" s="1745"/>
      <c r="C14" s="1745"/>
      <c r="D14" s="1746"/>
      <c r="E14" s="584"/>
      <c r="F14" s="584"/>
      <c r="G14" s="584"/>
      <c r="H14" s="584"/>
      <c r="I14" s="584"/>
      <c r="J14" s="584"/>
      <c r="K14" s="584"/>
      <c r="L14" s="1014"/>
    </row>
    <row r="15" spans="1:13" ht="21" customHeight="1">
      <c r="A15" s="1577"/>
      <c r="B15" s="1745"/>
      <c r="C15" s="1745"/>
      <c r="D15" s="1746"/>
      <c r="E15" s="584"/>
      <c r="F15" s="584"/>
      <c r="G15" s="584"/>
      <c r="H15" s="584"/>
      <c r="I15" s="584"/>
      <c r="J15" s="584"/>
      <c r="K15" s="584"/>
      <c r="L15" s="1014"/>
    </row>
    <row r="16" spans="1:13" ht="21" customHeight="1">
      <c r="A16" s="1577"/>
      <c r="B16" s="1745"/>
      <c r="C16" s="1745"/>
      <c r="D16" s="1746"/>
      <c r="E16" s="584"/>
      <c r="F16" s="584"/>
      <c r="G16" s="584"/>
      <c r="H16" s="584"/>
      <c r="I16" s="584"/>
      <c r="J16" s="584"/>
      <c r="K16" s="584"/>
      <c r="L16" s="1014"/>
    </row>
    <row r="17" spans="1:13" ht="21" customHeight="1">
      <c r="A17" s="1577"/>
      <c r="B17" s="1745"/>
      <c r="C17" s="1745"/>
      <c r="D17" s="1746"/>
      <c r="E17" s="584"/>
      <c r="F17" s="584"/>
      <c r="G17" s="584"/>
      <c r="H17" s="584"/>
      <c r="I17" s="584"/>
      <c r="J17" s="584"/>
      <c r="K17" s="584"/>
      <c r="L17" s="1014"/>
    </row>
    <row r="18" spans="1:13" ht="21" customHeight="1">
      <c r="A18" s="1577"/>
      <c r="B18" s="1745"/>
      <c r="C18" s="1745"/>
      <c r="D18" s="1746"/>
      <c r="E18" s="584"/>
      <c r="F18" s="584"/>
      <c r="G18" s="584"/>
      <c r="H18" s="584"/>
      <c r="I18" s="584"/>
      <c r="J18" s="584"/>
      <c r="K18" s="584"/>
      <c r="L18" s="1014"/>
    </row>
    <row r="19" spans="1:13" ht="21" customHeight="1">
      <c r="A19" s="1577"/>
      <c r="B19" s="1745"/>
      <c r="C19" s="1745"/>
      <c r="D19" s="1746"/>
      <c r="E19" s="584"/>
      <c r="F19" s="584"/>
      <c r="G19" s="584"/>
      <c r="H19" s="584"/>
      <c r="I19" s="584"/>
      <c r="J19" s="584"/>
      <c r="K19" s="584"/>
      <c r="L19" s="1014"/>
    </row>
    <row r="20" spans="1:13" ht="21" customHeight="1">
      <c r="A20" s="1577"/>
      <c r="B20" s="1745"/>
      <c r="C20" s="1745"/>
      <c r="D20" s="1746"/>
      <c r="E20" s="584"/>
      <c r="F20" s="584"/>
      <c r="G20" s="584"/>
      <c r="H20" s="584"/>
      <c r="I20" s="584"/>
      <c r="J20" s="584"/>
      <c r="K20" s="584"/>
      <c r="L20" s="1014"/>
    </row>
    <row r="21" spans="1:13" ht="21" customHeight="1">
      <c r="A21" s="1577"/>
      <c r="B21" s="1745"/>
      <c r="C21" s="1745"/>
      <c r="D21" s="1746"/>
      <c r="E21" s="584"/>
      <c r="F21" s="584"/>
      <c r="G21" s="584"/>
      <c r="H21" s="584"/>
      <c r="I21" s="584"/>
      <c r="J21" s="584"/>
      <c r="K21" s="584"/>
      <c r="L21" s="1014"/>
    </row>
    <row r="22" spans="1:13" ht="21" customHeight="1">
      <c r="A22" s="1577"/>
      <c r="B22" s="1745"/>
      <c r="C22" s="1745"/>
      <c r="D22" s="1746"/>
      <c r="E22" s="584"/>
      <c r="F22" s="584"/>
      <c r="G22" s="584"/>
      <c r="H22" s="584"/>
      <c r="I22" s="584"/>
      <c r="J22" s="584"/>
      <c r="K22" s="584"/>
      <c r="L22" s="1014"/>
    </row>
    <row r="23" spans="1:13" ht="21" customHeight="1">
      <c r="A23" s="1577"/>
      <c r="B23" s="1745"/>
      <c r="C23" s="1745"/>
      <c r="D23" s="1746"/>
      <c r="E23" s="584"/>
      <c r="F23" s="584"/>
      <c r="G23" s="584"/>
      <c r="H23" s="584"/>
      <c r="I23" s="584"/>
      <c r="J23" s="584"/>
      <c r="K23" s="584"/>
      <c r="L23" s="1014"/>
    </row>
    <row r="24" spans="1:13" ht="21" customHeight="1">
      <c r="A24" s="1577"/>
      <c r="B24" s="1745"/>
      <c r="C24" s="1745"/>
      <c r="D24" s="1746"/>
      <c r="E24" s="584"/>
      <c r="F24" s="584"/>
      <c r="G24" s="584"/>
      <c r="H24" s="584"/>
      <c r="I24" s="584"/>
      <c r="J24" s="584"/>
      <c r="K24" s="584"/>
      <c r="L24" s="1014"/>
      <c r="M24" s="325"/>
    </row>
    <row r="25" spans="1:13" ht="21" customHeight="1">
      <c r="B25" s="1745"/>
      <c r="C25" s="1745"/>
      <c r="D25" s="1746"/>
      <c r="E25" s="584"/>
      <c r="F25" s="584"/>
      <c r="G25" s="584"/>
      <c r="H25" s="584"/>
      <c r="I25" s="584"/>
      <c r="J25" s="584"/>
      <c r="K25" s="584"/>
      <c r="L25" s="1014"/>
    </row>
    <row r="26" spans="1:13" ht="21" customHeight="1">
      <c r="B26" s="1745"/>
      <c r="C26" s="1745"/>
      <c r="D26" s="1746"/>
      <c r="E26" s="584"/>
      <c r="F26" s="584"/>
      <c r="G26" s="584"/>
      <c r="H26" s="584"/>
      <c r="I26" s="584"/>
      <c r="J26" s="584"/>
      <c r="K26" s="584"/>
      <c r="L26" s="1014"/>
    </row>
    <row r="27" spans="1:13" ht="21" customHeight="1" thickBot="1">
      <c r="B27" s="1745"/>
      <c r="C27" s="1745"/>
      <c r="D27" s="1746"/>
      <c r="E27" s="1015"/>
      <c r="F27" s="1015"/>
      <c r="G27" s="1015"/>
      <c r="H27" s="1015"/>
      <c r="I27" s="1015"/>
      <c r="J27" s="1015"/>
      <c r="K27" s="1015"/>
      <c r="L27" s="1016"/>
    </row>
    <row r="28" spans="1:13" ht="21" customHeight="1" thickTop="1" thickBot="1">
      <c r="B28" s="148"/>
      <c r="C28" s="27"/>
      <c r="D28" s="795" t="s">
        <v>3545</v>
      </c>
      <c r="E28" s="219">
        <f t="shared" ref="E28:K28" si="0">SUM(E9:E27)</f>
        <v>1000977.34</v>
      </c>
      <c r="F28" s="219">
        <f>SUM(F9:F27)</f>
        <v>1180232.79</v>
      </c>
      <c r="G28" s="219">
        <f t="shared" si="0"/>
        <v>1703000</v>
      </c>
      <c r="H28" s="219">
        <f t="shared" si="0"/>
        <v>490223.16000000003</v>
      </c>
      <c r="I28" s="219">
        <f t="shared" si="0"/>
        <v>2509145.08</v>
      </c>
      <c r="J28" s="219">
        <f t="shared" si="0"/>
        <v>0</v>
      </c>
      <c r="K28" s="219">
        <f t="shared" si="0"/>
        <v>1369043.0199999998</v>
      </c>
      <c r="L28" s="227">
        <f>SUM(L9:L27)</f>
        <v>1720608.0699999998</v>
      </c>
    </row>
    <row r="29" spans="1:13" ht="13.5" customHeight="1" thickTop="1">
      <c r="B29" s="154"/>
      <c r="C29" s="44" t="s">
        <v>663</v>
      </c>
      <c r="D29" s="152"/>
      <c r="E29" s="286"/>
      <c r="F29" s="286"/>
      <c r="G29" s="286"/>
      <c r="H29" s="286"/>
      <c r="I29" s="286"/>
      <c r="J29" s="286"/>
      <c r="K29" s="755"/>
      <c r="L29" s="755"/>
    </row>
    <row r="30" spans="1:13">
      <c r="K30" s="325"/>
      <c r="L30" s="287"/>
    </row>
    <row r="33" spans="5:12">
      <c r="E33" s="325"/>
      <c r="F33" s="325"/>
    </row>
    <row r="34" spans="5:12">
      <c r="K34" s="325"/>
      <c r="L34" s="325"/>
    </row>
    <row r="35" spans="5:12">
      <c r="L35" s="325"/>
    </row>
    <row r="36" spans="5:12">
      <c r="L36" s="325"/>
    </row>
    <row r="38" spans="5:12">
      <c r="L38"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26">
    <mergeCell ref="B7:D7"/>
    <mergeCell ref="A12:A24"/>
    <mergeCell ref="B2:L2"/>
    <mergeCell ref="B3:L3"/>
    <mergeCell ref="E4:F6"/>
    <mergeCell ref="K4:L6"/>
    <mergeCell ref="B5:D5"/>
    <mergeCell ref="B6:D6"/>
    <mergeCell ref="B10:D10"/>
    <mergeCell ref="B11:D11"/>
    <mergeCell ref="B12:D12"/>
    <mergeCell ref="B13:D13"/>
    <mergeCell ref="B14:D14"/>
    <mergeCell ref="B15:D15"/>
    <mergeCell ref="B16:D16"/>
    <mergeCell ref="B17:D17"/>
    <mergeCell ref="B18:D18"/>
    <mergeCell ref="B19:D19"/>
    <mergeCell ref="B20:D20"/>
    <mergeCell ref="B21:D21"/>
    <mergeCell ref="B22:D22"/>
    <mergeCell ref="B27:D27"/>
    <mergeCell ref="B23:D23"/>
    <mergeCell ref="B24:D24"/>
    <mergeCell ref="B25:D25"/>
    <mergeCell ref="B26:D26"/>
  </mergeCells>
  <pageMargins left="0.25" right="0.25" top="0.5" bottom="0.5" header="0.25" footer="0.25"/>
  <pageSetup paperSize="5" orientation="landscape" r:id="rId5"/>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2"/>
  <dimension ref="A1:M38"/>
  <sheetViews>
    <sheetView zoomScaleNormal="100" workbookViewId="0">
      <selection activeCell="B1" sqref="B1"/>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5.33203125" style="322" customWidth="1"/>
    <col min="14" max="16384" width="9.109375" style="322"/>
  </cols>
  <sheetData>
    <row r="1" spans="1:13" ht="8.25" customHeight="1"/>
    <row r="2" spans="1:13" ht="20.399999999999999">
      <c r="B2" s="1508" t="s">
        <v>665</v>
      </c>
      <c r="C2" s="1508"/>
      <c r="D2" s="1508"/>
      <c r="E2" s="1508"/>
      <c r="F2" s="1508"/>
      <c r="G2" s="1508"/>
      <c r="H2" s="1508"/>
      <c r="I2" s="1508"/>
      <c r="J2" s="1508"/>
      <c r="K2" s="1508"/>
      <c r="L2" s="1508"/>
    </row>
    <row r="3" spans="1:13" ht="9.75" customHeight="1" thickBot="1">
      <c r="B3" s="1508"/>
      <c r="C3" s="1508"/>
      <c r="D3" s="1508"/>
      <c r="E3" s="1508"/>
      <c r="F3" s="1508"/>
      <c r="G3" s="1508"/>
      <c r="H3" s="1508"/>
      <c r="I3" s="1508"/>
      <c r="J3" s="1508"/>
      <c r="K3" s="1508"/>
      <c r="L3" s="1508"/>
    </row>
    <row r="4" spans="1:13" ht="13.5" customHeight="1" thickTop="1">
      <c r="B4" s="11"/>
      <c r="C4" s="11"/>
      <c r="D4" s="11"/>
      <c r="E4" s="1737" t="str">
        <f>'35- Cap Fund Imprv Auth'!E4:F6</f>
        <v>Balance - January 1, 2019</v>
      </c>
      <c r="F4" s="1619"/>
      <c r="G4" s="12"/>
      <c r="H4" s="12"/>
      <c r="I4" s="12"/>
      <c r="J4" s="12"/>
      <c r="K4" s="1737" t="str">
        <f>'35- Cap Fund Imprv Auth'!K4:L6</f>
        <v>Balance - December 31, 2019</v>
      </c>
      <c r="L4" s="1742"/>
    </row>
    <row r="5" spans="1:13" ht="13.5" customHeight="1">
      <c r="B5" s="1546" t="s">
        <v>656</v>
      </c>
      <c r="C5" s="1546"/>
      <c r="D5" s="1595"/>
      <c r="E5" s="1738"/>
      <c r="F5" s="1739"/>
      <c r="G5" s="758"/>
      <c r="H5" s="758"/>
      <c r="I5" s="758"/>
      <c r="J5" s="758"/>
      <c r="K5" s="1738"/>
      <c r="L5" s="1743"/>
    </row>
    <row r="6" spans="1:13" ht="13.5" customHeight="1">
      <c r="B6" s="1546" t="s">
        <v>657</v>
      </c>
      <c r="C6" s="1546"/>
      <c r="D6" s="1595"/>
      <c r="E6" s="1740"/>
      <c r="F6" s="1741"/>
      <c r="G6" s="758">
        <f>'KEY INPUTS'!D34</f>
        <v>2019</v>
      </c>
      <c r="H6" s="921" t="s">
        <v>280</v>
      </c>
      <c r="I6" s="758" t="s">
        <v>302</v>
      </c>
      <c r="J6" s="758" t="s">
        <v>661</v>
      </c>
      <c r="K6" s="1740"/>
      <c r="L6" s="1744"/>
    </row>
    <row r="7" spans="1:13" ht="13.5" customHeight="1">
      <c r="B7" s="1546" t="s">
        <v>658</v>
      </c>
      <c r="C7" s="1546"/>
      <c r="D7" s="1595"/>
      <c r="E7" s="282" t="s">
        <v>659</v>
      </c>
      <c r="F7" s="282" t="s">
        <v>660</v>
      </c>
      <c r="G7" s="282" t="s">
        <v>661</v>
      </c>
      <c r="H7" s="282"/>
      <c r="I7" s="282"/>
      <c r="J7" s="282" t="s">
        <v>558</v>
      </c>
      <c r="K7" s="282" t="s">
        <v>659</v>
      </c>
      <c r="L7" s="21" t="s">
        <v>660</v>
      </c>
    </row>
    <row r="8" spans="1:13" ht="13.5" customHeight="1" thickBot="1">
      <c r="B8" s="10"/>
      <c r="C8" s="10"/>
      <c r="D8" s="10"/>
      <c r="E8" s="14"/>
      <c r="F8" s="14"/>
      <c r="G8" s="16"/>
      <c r="H8" s="16"/>
      <c r="I8" s="14"/>
      <c r="J8" s="14"/>
      <c r="K8" s="16"/>
      <c r="L8" s="156"/>
    </row>
    <row r="9" spans="1:13" ht="21" customHeight="1" thickTop="1">
      <c r="B9" s="229" t="s">
        <v>3546</v>
      </c>
      <c r="C9" s="283"/>
      <c r="D9" s="23"/>
      <c r="E9" s="224">
        <f>+'35.2- Cap Fund Imprv Auth'!E28</f>
        <v>1000977.34</v>
      </c>
      <c r="F9" s="224">
        <f>+'35.2- Cap Fund Imprv Auth'!F28</f>
        <v>1180232.79</v>
      </c>
      <c r="G9" s="224">
        <f>+'35.2- Cap Fund Imprv Auth'!G28</f>
        <v>1703000</v>
      </c>
      <c r="H9" s="224">
        <f>+'35- Cap Fund Imprv Auth'!H28</f>
        <v>490223.16000000003</v>
      </c>
      <c r="I9" s="224">
        <f>+'35.2- Cap Fund Imprv Auth'!I28</f>
        <v>2509145.08</v>
      </c>
      <c r="J9" s="224">
        <f>+'35.2- Cap Fund Imprv Auth'!J28</f>
        <v>0</v>
      </c>
      <c r="K9" s="224">
        <f>+'35.2- Cap Fund Imprv Auth'!K28</f>
        <v>1369043.0199999998</v>
      </c>
      <c r="L9" s="225">
        <f>+'35.2- Cap Fund Imprv Auth'!L28</f>
        <v>1720608.0699999998</v>
      </c>
    </row>
    <row r="10" spans="1:13" ht="21" customHeight="1">
      <c r="B10" s="1718"/>
      <c r="C10" s="1718"/>
      <c r="D10" s="1719"/>
      <c r="E10" s="372"/>
      <c r="F10" s="372"/>
      <c r="G10" s="372"/>
      <c r="H10" s="372"/>
      <c r="I10" s="372"/>
      <c r="J10" s="372"/>
      <c r="K10" s="372"/>
      <c r="L10" s="949"/>
    </row>
    <row r="11" spans="1:13" ht="21" customHeight="1">
      <c r="B11" s="1718"/>
      <c r="C11" s="1718"/>
      <c r="D11" s="1719"/>
      <c r="E11" s="372"/>
      <c r="F11" s="372"/>
      <c r="G11" s="372"/>
      <c r="H11" s="372"/>
      <c r="I11" s="372"/>
      <c r="J11" s="372"/>
      <c r="K11" s="372"/>
      <c r="L11" s="949"/>
    </row>
    <row r="12" spans="1:13" ht="21" customHeight="1">
      <c r="A12" s="1577" t="s">
        <v>3628</v>
      </c>
      <c r="B12" s="1718"/>
      <c r="C12" s="1718"/>
      <c r="D12" s="1719"/>
      <c r="E12" s="372"/>
      <c r="F12" s="372"/>
      <c r="G12" s="372"/>
      <c r="H12" s="372"/>
      <c r="I12" s="372"/>
      <c r="J12" s="372"/>
      <c r="K12" s="372"/>
      <c r="L12" s="949"/>
      <c r="M12" s="325"/>
    </row>
    <row r="13" spans="1:13" ht="21" customHeight="1">
      <c r="A13" s="1577"/>
      <c r="B13" s="1718"/>
      <c r="C13" s="1718"/>
      <c r="D13" s="1719"/>
      <c r="E13" s="372"/>
      <c r="F13" s="372"/>
      <c r="G13" s="372"/>
      <c r="H13" s="372"/>
      <c r="I13" s="372"/>
      <c r="J13" s="372"/>
      <c r="K13" s="372"/>
      <c r="L13" s="949"/>
    </row>
    <row r="14" spans="1:13" ht="21" customHeight="1">
      <c r="A14" s="1577"/>
      <c r="B14" s="1718"/>
      <c r="C14" s="1718"/>
      <c r="D14" s="1719"/>
      <c r="E14" s="372"/>
      <c r="F14" s="372"/>
      <c r="G14" s="372"/>
      <c r="H14" s="372"/>
      <c r="I14" s="372"/>
      <c r="J14" s="372"/>
      <c r="K14" s="372"/>
      <c r="L14" s="949"/>
    </row>
    <row r="15" spans="1:13" ht="21" customHeight="1">
      <c r="A15" s="1577"/>
      <c r="B15" s="1718"/>
      <c r="C15" s="1718"/>
      <c r="D15" s="1719"/>
      <c r="E15" s="372"/>
      <c r="F15" s="372"/>
      <c r="G15" s="372"/>
      <c r="H15" s="372"/>
      <c r="I15" s="372"/>
      <c r="J15" s="372"/>
      <c r="K15" s="372"/>
      <c r="L15" s="949"/>
    </row>
    <row r="16" spans="1:13" ht="21" customHeight="1">
      <c r="A16" s="1577"/>
      <c r="B16" s="1718"/>
      <c r="C16" s="1718"/>
      <c r="D16" s="1719"/>
      <c r="E16" s="372"/>
      <c r="F16" s="372"/>
      <c r="G16" s="372"/>
      <c r="H16" s="372"/>
      <c r="I16" s="372"/>
      <c r="J16" s="372"/>
      <c r="K16" s="372"/>
      <c r="L16" s="949"/>
    </row>
    <row r="17" spans="1:13" ht="21" customHeight="1">
      <c r="A17" s="1577"/>
      <c r="B17" s="1718"/>
      <c r="C17" s="1718"/>
      <c r="D17" s="1719"/>
      <c r="E17" s="372"/>
      <c r="F17" s="372"/>
      <c r="G17" s="372"/>
      <c r="H17" s="372"/>
      <c r="I17" s="372"/>
      <c r="J17" s="372"/>
      <c r="K17" s="372"/>
      <c r="L17" s="949"/>
    </row>
    <row r="18" spans="1:13" ht="21" customHeight="1">
      <c r="A18" s="1577"/>
      <c r="B18" s="1718"/>
      <c r="C18" s="1718"/>
      <c r="D18" s="1719"/>
      <c r="E18" s="372"/>
      <c r="F18" s="372"/>
      <c r="G18" s="372"/>
      <c r="H18" s="372"/>
      <c r="I18" s="372"/>
      <c r="J18" s="372"/>
      <c r="K18" s="372"/>
      <c r="L18" s="949"/>
    </row>
    <row r="19" spans="1:13" ht="21" customHeight="1">
      <c r="A19" s="1577"/>
      <c r="B19" s="1718"/>
      <c r="C19" s="1718"/>
      <c r="D19" s="1719"/>
      <c r="E19" s="372"/>
      <c r="F19" s="372"/>
      <c r="G19" s="372"/>
      <c r="H19" s="372"/>
      <c r="I19" s="372"/>
      <c r="J19" s="372"/>
      <c r="K19" s="372"/>
      <c r="L19" s="949"/>
    </row>
    <row r="20" spans="1:13" ht="21" customHeight="1">
      <c r="A20" s="1577"/>
      <c r="B20" s="1718"/>
      <c r="C20" s="1718"/>
      <c r="D20" s="1719"/>
      <c r="E20" s="372"/>
      <c r="F20" s="372"/>
      <c r="G20" s="372"/>
      <c r="H20" s="372"/>
      <c r="I20" s="372"/>
      <c r="J20" s="372"/>
      <c r="K20" s="372"/>
      <c r="L20" s="949"/>
    </row>
    <row r="21" spans="1:13" ht="21" customHeight="1">
      <c r="A21" s="1577"/>
      <c r="B21" s="1718"/>
      <c r="C21" s="1718"/>
      <c r="D21" s="1719"/>
      <c r="E21" s="372"/>
      <c r="F21" s="372"/>
      <c r="G21" s="372"/>
      <c r="H21" s="372"/>
      <c r="I21" s="372"/>
      <c r="J21" s="372"/>
      <c r="K21" s="372"/>
      <c r="L21" s="949"/>
    </row>
    <row r="22" spans="1:13" ht="21" customHeight="1">
      <c r="A22" s="1577"/>
      <c r="B22" s="1718"/>
      <c r="C22" s="1718"/>
      <c r="D22" s="1719"/>
      <c r="E22" s="372"/>
      <c r="F22" s="372"/>
      <c r="G22" s="372"/>
      <c r="H22" s="372"/>
      <c r="I22" s="372"/>
      <c r="J22" s="372"/>
      <c r="K22" s="372"/>
      <c r="L22" s="949"/>
    </row>
    <row r="23" spans="1:13" ht="21" customHeight="1">
      <c r="A23" s="1577"/>
      <c r="B23" s="1718"/>
      <c r="C23" s="1718"/>
      <c r="D23" s="1719"/>
      <c r="E23" s="372"/>
      <c r="F23" s="372"/>
      <c r="G23" s="372"/>
      <c r="H23" s="372"/>
      <c r="I23" s="372"/>
      <c r="J23" s="372"/>
      <c r="K23" s="372"/>
      <c r="L23" s="949"/>
    </row>
    <row r="24" spans="1:13" ht="21" customHeight="1">
      <c r="A24" s="1577"/>
      <c r="B24" s="1718"/>
      <c r="C24" s="1718"/>
      <c r="D24" s="1719"/>
      <c r="E24" s="372"/>
      <c r="F24" s="372"/>
      <c r="G24" s="372"/>
      <c r="H24" s="372"/>
      <c r="I24" s="372"/>
      <c r="J24" s="372"/>
      <c r="K24" s="372"/>
      <c r="L24" s="949"/>
      <c r="M24" s="325"/>
    </row>
    <row r="25" spans="1:13" ht="21" customHeight="1">
      <c r="B25" s="1718"/>
      <c r="C25" s="1718"/>
      <c r="D25" s="1719"/>
      <c r="E25" s="372"/>
      <c r="F25" s="372"/>
      <c r="G25" s="372"/>
      <c r="H25" s="372"/>
      <c r="I25" s="372"/>
      <c r="J25" s="372"/>
      <c r="K25" s="372"/>
      <c r="L25" s="949"/>
    </row>
    <row r="26" spans="1:13" ht="21" customHeight="1">
      <c r="B26" s="1718"/>
      <c r="C26" s="1718"/>
      <c r="D26" s="1719"/>
      <c r="E26" s="372"/>
      <c r="F26" s="372"/>
      <c r="G26" s="372"/>
      <c r="H26" s="372"/>
      <c r="I26" s="372"/>
      <c r="J26" s="372"/>
      <c r="K26" s="372"/>
      <c r="L26" s="949"/>
    </row>
    <row r="27" spans="1:13" ht="21" customHeight="1" thickBot="1">
      <c r="B27" s="1718"/>
      <c r="C27" s="1718"/>
      <c r="D27" s="1719"/>
      <c r="E27" s="637"/>
      <c r="F27" s="637"/>
      <c r="G27" s="637"/>
      <c r="H27" s="637"/>
      <c r="I27" s="637"/>
      <c r="J27" s="637"/>
      <c r="K27" s="637"/>
      <c r="L27" s="1013"/>
    </row>
    <row r="28" spans="1:13" ht="21" customHeight="1" thickTop="1" thickBot="1">
      <c r="B28" s="148"/>
      <c r="C28" s="27"/>
      <c r="D28" s="795" t="s">
        <v>3545</v>
      </c>
      <c r="E28" s="219">
        <f t="shared" ref="E28:K28" si="0">SUM(E9:E27)</f>
        <v>1000977.34</v>
      </c>
      <c r="F28" s="219">
        <f>SUM(F9:F27)</f>
        <v>1180232.79</v>
      </c>
      <c r="G28" s="219">
        <f t="shared" si="0"/>
        <v>1703000</v>
      </c>
      <c r="H28" s="219">
        <f t="shared" si="0"/>
        <v>490223.16000000003</v>
      </c>
      <c r="I28" s="219">
        <f t="shared" si="0"/>
        <v>2509145.08</v>
      </c>
      <c r="J28" s="219">
        <f t="shared" si="0"/>
        <v>0</v>
      </c>
      <c r="K28" s="219">
        <f t="shared" si="0"/>
        <v>1369043.0199999998</v>
      </c>
      <c r="L28" s="227">
        <f>SUM(L9:L27)</f>
        <v>1720608.0699999998</v>
      </c>
    </row>
    <row r="29" spans="1:13" ht="13.5" customHeight="1" thickTop="1">
      <c r="B29" s="154"/>
      <c r="C29" s="44" t="s">
        <v>663</v>
      </c>
      <c r="D29" s="152"/>
      <c r="E29" s="286"/>
      <c r="F29" s="286"/>
      <c r="G29" s="286"/>
      <c r="H29" s="286"/>
      <c r="I29" s="286"/>
      <c r="J29" s="286"/>
      <c r="K29" s="755"/>
      <c r="L29" s="755"/>
    </row>
    <row r="30" spans="1:13">
      <c r="K30" s="325"/>
      <c r="L30" s="287"/>
    </row>
    <row r="33" spans="5:12">
      <c r="E33" s="325"/>
      <c r="F33" s="325"/>
    </row>
    <row r="34" spans="5:12">
      <c r="K34" s="325"/>
      <c r="L34" s="325"/>
    </row>
    <row r="35" spans="5:12">
      <c r="L35" s="325"/>
    </row>
    <row r="36" spans="5:12">
      <c r="L36" s="325"/>
    </row>
    <row r="38" spans="5:12">
      <c r="L38"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26">
    <mergeCell ref="B7:D7"/>
    <mergeCell ref="A12:A24"/>
    <mergeCell ref="B2:L2"/>
    <mergeCell ref="B3:L3"/>
    <mergeCell ref="E4:F6"/>
    <mergeCell ref="K4:L6"/>
    <mergeCell ref="B5:D5"/>
    <mergeCell ref="B6:D6"/>
    <mergeCell ref="B10:D10"/>
    <mergeCell ref="B11:D11"/>
    <mergeCell ref="B12:D12"/>
    <mergeCell ref="B13:D13"/>
    <mergeCell ref="B14:D14"/>
    <mergeCell ref="B15:D15"/>
    <mergeCell ref="B16:D16"/>
    <mergeCell ref="B17:D17"/>
    <mergeCell ref="B18:D18"/>
    <mergeCell ref="B19:D19"/>
    <mergeCell ref="B20:D20"/>
    <mergeCell ref="B21:D21"/>
    <mergeCell ref="B22:D22"/>
    <mergeCell ref="B27:D27"/>
    <mergeCell ref="B23:D23"/>
    <mergeCell ref="B24:D24"/>
    <mergeCell ref="B25:D25"/>
    <mergeCell ref="B26:D26"/>
  </mergeCells>
  <pageMargins left="0.25" right="0.25" top="0.5" bottom="0.5" header="0.25" footer="0.25"/>
  <pageSetup paperSize="5" orientation="landscape" r:id="rId5"/>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3"/>
  <dimension ref="A1:M38"/>
  <sheetViews>
    <sheetView zoomScaleNormal="100" workbookViewId="0">
      <selection activeCell="B1" sqref="B1"/>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5.33203125" style="322" customWidth="1"/>
    <col min="14" max="16384" width="9.109375" style="322"/>
  </cols>
  <sheetData>
    <row r="1" spans="1:13" ht="8.25" customHeight="1"/>
    <row r="2" spans="1:13" ht="20.399999999999999">
      <c r="B2" s="1508" t="s">
        <v>665</v>
      </c>
      <c r="C2" s="1508"/>
      <c r="D2" s="1508"/>
      <c r="E2" s="1508"/>
      <c r="F2" s="1508"/>
      <c r="G2" s="1508"/>
      <c r="H2" s="1508"/>
      <c r="I2" s="1508"/>
      <c r="J2" s="1508"/>
      <c r="K2" s="1508"/>
      <c r="L2" s="1508"/>
    </row>
    <row r="3" spans="1:13" ht="9.75" customHeight="1" thickBot="1">
      <c r="B3" s="1508"/>
      <c r="C3" s="1508"/>
      <c r="D3" s="1508"/>
      <c r="E3" s="1508"/>
      <c r="F3" s="1508"/>
      <c r="G3" s="1508"/>
      <c r="H3" s="1508"/>
      <c r="I3" s="1508"/>
      <c r="J3" s="1508"/>
      <c r="K3" s="1508"/>
      <c r="L3" s="1508"/>
    </row>
    <row r="4" spans="1:13" ht="13.5" customHeight="1" thickTop="1">
      <c r="B4" s="11"/>
      <c r="C4" s="11"/>
      <c r="D4" s="11"/>
      <c r="E4" s="1737" t="str">
        <f>'35- Cap Fund Imprv Auth'!E4:F6</f>
        <v>Balance - January 1, 2019</v>
      </c>
      <c r="F4" s="1619"/>
      <c r="G4" s="12"/>
      <c r="H4" s="12"/>
      <c r="I4" s="12"/>
      <c r="J4" s="12"/>
      <c r="K4" s="1737" t="str">
        <f>'35- Cap Fund Imprv Auth'!K4:L6</f>
        <v>Balance - December 31, 2019</v>
      </c>
      <c r="L4" s="1742"/>
    </row>
    <row r="5" spans="1:13" ht="13.5" customHeight="1">
      <c r="B5" s="1546" t="s">
        <v>656</v>
      </c>
      <c r="C5" s="1546"/>
      <c r="D5" s="1595"/>
      <c r="E5" s="1738"/>
      <c r="F5" s="1739"/>
      <c r="G5" s="758"/>
      <c r="H5" s="758"/>
      <c r="I5" s="758"/>
      <c r="J5" s="758"/>
      <c r="K5" s="1738"/>
      <c r="L5" s="1743"/>
    </row>
    <row r="6" spans="1:13" ht="13.5" customHeight="1">
      <c r="B6" s="1546" t="s">
        <v>657</v>
      </c>
      <c r="C6" s="1546"/>
      <c r="D6" s="1595"/>
      <c r="E6" s="1740"/>
      <c r="F6" s="1741"/>
      <c r="G6" s="758">
        <f>'KEY INPUTS'!D34</f>
        <v>2019</v>
      </c>
      <c r="H6" s="921" t="s">
        <v>280</v>
      </c>
      <c r="I6" s="758" t="s">
        <v>302</v>
      </c>
      <c r="J6" s="758" t="s">
        <v>661</v>
      </c>
      <c r="K6" s="1740"/>
      <c r="L6" s="1744"/>
    </row>
    <row r="7" spans="1:13" ht="13.5" customHeight="1">
      <c r="B7" s="1546" t="s">
        <v>658</v>
      </c>
      <c r="C7" s="1546"/>
      <c r="D7" s="1595"/>
      <c r="E7" s="282" t="s">
        <v>659</v>
      </c>
      <c r="F7" s="282" t="s">
        <v>660</v>
      </c>
      <c r="G7" s="282" t="s">
        <v>661</v>
      </c>
      <c r="H7" s="282"/>
      <c r="I7" s="282"/>
      <c r="J7" s="282" t="s">
        <v>558</v>
      </c>
      <c r="K7" s="282" t="s">
        <v>659</v>
      </c>
      <c r="L7" s="21" t="s">
        <v>660</v>
      </c>
    </row>
    <row r="8" spans="1:13" ht="13.5" customHeight="1" thickBot="1">
      <c r="B8" s="10"/>
      <c r="C8" s="10"/>
      <c r="D8" s="10"/>
      <c r="E8" s="14"/>
      <c r="F8" s="14"/>
      <c r="G8" s="16"/>
      <c r="H8" s="16"/>
      <c r="I8" s="14"/>
      <c r="J8" s="14"/>
      <c r="K8" s="16"/>
      <c r="L8" s="156"/>
    </row>
    <row r="9" spans="1:13" ht="21" customHeight="1" thickTop="1">
      <c r="B9" s="229" t="s">
        <v>3546</v>
      </c>
      <c r="C9" s="283"/>
      <c r="D9" s="23"/>
      <c r="E9" s="224">
        <f>+'35.3- Cap Fund Imprv Auth'!E28</f>
        <v>1000977.34</v>
      </c>
      <c r="F9" s="224">
        <f>+'35.3- Cap Fund Imprv Auth'!F28</f>
        <v>1180232.79</v>
      </c>
      <c r="G9" s="224">
        <f>+'35.3- Cap Fund Imprv Auth'!G28</f>
        <v>1703000</v>
      </c>
      <c r="H9" s="224">
        <f>+'35- Cap Fund Imprv Auth'!H28</f>
        <v>490223.16000000003</v>
      </c>
      <c r="I9" s="224">
        <f>+'35.3- Cap Fund Imprv Auth'!I28</f>
        <v>2509145.08</v>
      </c>
      <c r="J9" s="224">
        <f>+'35.3- Cap Fund Imprv Auth'!J28</f>
        <v>0</v>
      </c>
      <c r="K9" s="224">
        <f>+'35.3- Cap Fund Imprv Auth'!K28</f>
        <v>1369043.0199999998</v>
      </c>
      <c r="L9" s="225">
        <f>+'35.3- Cap Fund Imprv Auth'!L28</f>
        <v>1720608.0699999998</v>
      </c>
    </row>
    <row r="10" spans="1:13" ht="21" customHeight="1">
      <c r="B10" s="1718"/>
      <c r="C10" s="1718"/>
      <c r="D10" s="1719"/>
      <c r="E10" s="372"/>
      <c r="F10" s="372"/>
      <c r="G10" s="372"/>
      <c r="H10" s="372"/>
      <c r="I10" s="372"/>
      <c r="J10" s="372"/>
      <c r="K10" s="372"/>
      <c r="L10" s="949"/>
    </row>
    <row r="11" spans="1:13" ht="21" customHeight="1">
      <c r="B11" s="1718"/>
      <c r="C11" s="1718"/>
      <c r="D11" s="1719"/>
      <c r="E11" s="372"/>
      <c r="F11" s="372"/>
      <c r="G11" s="372"/>
      <c r="H11" s="372"/>
      <c r="I11" s="372"/>
      <c r="J11" s="372"/>
      <c r="K11" s="372"/>
      <c r="L11" s="949"/>
    </row>
    <row r="12" spans="1:13" ht="21" customHeight="1">
      <c r="A12" s="1577" t="s">
        <v>3629</v>
      </c>
      <c r="B12" s="1718"/>
      <c r="C12" s="1718"/>
      <c r="D12" s="1719"/>
      <c r="E12" s="372"/>
      <c r="F12" s="372"/>
      <c r="G12" s="372"/>
      <c r="H12" s="372"/>
      <c r="I12" s="372"/>
      <c r="J12" s="372"/>
      <c r="K12" s="372"/>
      <c r="L12" s="949"/>
      <c r="M12" s="325"/>
    </row>
    <row r="13" spans="1:13" ht="21" customHeight="1">
      <c r="A13" s="1577"/>
      <c r="B13" s="1718"/>
      <c r="C13" s="1718"/>
      <c r="D13" s="1719"/>
      <c r="E13" s="372"/>
      <c r="F13" s="372"/>
      <c r="G13" s="372"/>
      <c r="H13" s="372"/>
      <c r="I13" s="372"/>
      <c r="J13" s="372"/>
      <c r="K13" s="372"/>
      <c r="L13" s="949"/>
    </row>
    <row r="14" spans="1:13" ht="21" customHeight="1">
      <c r="A14" s="1577"/>
      <c r="B14" s="1718"/>
      <c r="C14" s="1718"/>
      <c r="D14" s="1719"/>
      <c r="E14" s="372"/>
      <c r="F14" s="372"/>
      <c r="G14" s="372"/>
      <c r="H14" s="372"/>
      <c r="I14" s="372"/>
      <c r="J14" s="372"/>
      <c r="K14" s="372"/>
      <c r="L14" s="949"/>
    </row>
    <row r="15" spans="1:13" ht="21" customHeight="1">
      <c r="A15" s="1577"/>
      <c r="B15" s="1718"/>
      <c r="C15" s="1718"/>
      <c r="D15" s="1719"/>
      <c r="E15" s="372"/>
      <c r="F15" s="372"/>
      <c r="G15" s="372"/>
      <c r="H15" s="372"/>
      <c r="I15" s="372"/>
      <c r="J15" s="372"/>
      <c r="K15" s="372"/>
      <c r="L15" s="949"/>
    </row>
    <row r="16" spans="1:13" ht="21" customHeight="1">
      <c r="A16" s="1577"/>
      <c r="B16" s="1718"/>
      <c r="C16" s="1718"/>
      <c r="D16" s="1719"/>
      <c r="E16" s="372"/>
      <c r="F16" s="372"/>
      <c r="G16" s="372"/>
      <c r="H16" s="372"/>
      <c r="I16" s="372"/>
      <c r="J16" s="372"/>
      <c r="K16" s="372"/>
      <c r="L16" s="949"/>
    </row>
    <row r="17" spans="1:13" ht="21" customHeight="1">
      <c r="A17" s="1577"/>
      <c r="B17" s="1718"/>
      <c r="C17" s="1718"/>
      <c r="D17" s="1719"/>
      <c r="E17" s="372"/>
      <c r="F17" s="372"/>
      <c r="G17" s="372"/>
      <c r="H17" s="372"/>
      <c r="I17" s="372"/>
      <c r="J17" s="372"/>
      <c r="K17" s="372"/>
      <c r="L17" s="949"/>
    </row>
    <row r="18" spans="1:13" ht="21" customHeight="1">
      <c r="A18" s="1577"/>
      <c r="B18" s="1718"/>
      <c r="C18" s="1718"/>
      <c r="D18" s="1719"/>
      <c r="E18" s="372"/>
      <c r="F18" s="372"/>
      <c r="G18" s="372"/>
      <c r="H18" s="372"/>
      <c r="I18" s="372"/>
      <c r="J18" s="372"/>
      <c r="K18" s="372"/>
      <c r="L18" s="949"/>
    </row>
    <row r="19" spans="1:13" ht="21" customHeight="1">
      <c r="A19" s="1577"/>
      <c r="B19" s="1718"/>
      <c r="C19" s="1718"/>
      <c r="D19" s="1719"/>
      <c r="E19" s="372"/>
      <c r="F19" s="372"/>
      <c r="G19" s="372"/>
      <c r="H19" s="372"/>
      <c r="I19" s="372"/>
      <c r="J19" s="372"/>
      <c r="K19" s="372"/>
      <c r="L19" s="949"/>
    </row>
    <row r="20" spans="1:13" ht="21" customHeight="1">
      <c r="A20" s="1577"/>
      <c r="B20" s="1718"/>
      <c r="C20" s="1718"/>
      <c r="D20" s="1719"/>
      <c r="E20" s="372"/>
      <c r="F20" s="372"/>
      <c r="G20" s="372"/>
      <c r="H20" s="372"/>
      <c r="I20" s="372"/>
      <c r="J20" s="372"/>
      <c r="K20" s="372"/>
      <c r="L20" s="949"/>
    </row>
    <row r="21" spans="1:13" ht="21" customHeight="1">
      <c r="A21" s="1577"/>
      <c r="B21" s="1718"/>
      <c r="C21" s="1718"/>
      <c r="D21" s="1719"/>
      <c r="E21" s="372"/>
      <c r="F21" s="372"/>
      <c r="G21" s="372"/>
      <c r="H21" s="372"/>
      <c r="I21" s="372"/>
      <c r="J21" s="372"/>
      <c r="K21" s="372"/>
      <c r="L21" s="949"/>
    </row>
    <row r="22" spans="1:13" ht="21" customHeight="1">
      <c r="A22" s="1577"/>
      <c r="B22" s="1718"/>
      <c r="C22" s="1718"/>
      <c r="D22" s="1719"/>
      <c r="E22" s="372"/>
      <c r="F22" s="372"/>
      <c r="G22" s="372"/>
      <c r="H22" s="372"/>
      <c r="I22" s="372"/>
      <c r="J22" s="372"/>
      <c r="K22" s="372"/>
      <c r="L22" s="949"/>
    </row>
    <row r="23" spans="1:13" ht="21" customHeight="1">
      <c r="A23" s="1577"/>
      <c r="B23" s="1718"/>
      <c r="C23" s="1718"/>
      <c r="D23" s="1719"/>
      <c r="E23" s="372"/>
      <c r="F23" s="372"/>
      <c r="G23" s="372"/>
      <c r="H23" s="372"/>
      <c r="I23" s="372"/>
      <c r="J23" s="372"/>
      <c r="K23" s="372"/>
      <c r="L23" s="949"/>
    </row>
    <row r="24" spans="1:13" ht="21" customHeight="1">
      <c r="A24" s="1577"/>
      <c r="B24" s="1718"/>
      <c r="C24" s="1718"/>
      <c r="D24" s="1719"/>
      <c r="E24" s="372"/>
      <c r="F24" s="372"/>
      <c r="G24" s="372"/>
      <c r="H24" s="372"/>
      <c r="I24" s="372"/>
      <c r="J24" s="372"/>
      <c r="K24" s="372"/>
      <c r="L24" s="949"/>
      <c r="M24" s="325"/>
    </row>
    <row r="25" spans="1:13" ht="21" customHeight="1">
      <c r="B25" s="1718"/>
      <c r="C25" s="1718"/>
      <c r="D25" s="1719"/>
      <c r="E25" s="372"/>
      <c r="F25" s="372"/>
      <c r="G25" s="372"/>
      <c r="H25" s="372"/>
      <c r="I25" s="372"/>
      <c r="J25" s="372"/>
      <c r="K25" s="372"/>
      <c r="L25" s="949"/>
    </row>
    <row r="26" spans="1:13" ht="21" customHeight="1">
      <c r="B26" s="1718"/>
      <c r="C26" s="1718"/>
      <c r="D26" s="1719"/>
      <c r="E26" s="372"/>
      <c r="F26" s="372"/>
      <c r="G26" s="372"/>
      <c r="H26" s="372"/>
      <c r="I26" s="372"/>
      <c r="J26" s="372"/>
      <c r="K26" s="372"/>
      <c r="L26" s="949"/>
    </row>
    <row r="27" spans="1:13" ht="21" customHeight="1" thickBot="1">
      <c r="B27" s="1718"/>
      <c r="C27" s="1718"/>
      <c r="D27" s="1719"/>
      <c r="E27" s="637"/>
      <c r="F27" s="637"/>
      <c r="G27" s="637"/>
      <c r="H27" s="637"/>
      <c r="I27" s="637"/>
      <c r="J27" s="637"/>
      <c r="K27" s="637"/>
      <c r="L27" s="1013"/>
    </row>
    <row r="28" spans="1:13" ht="21" customHeight="1" thickTop="1" thickBot="1">
      <c r="B28" s="148"/>
      <c r="C28" s="27"/>
      <c r="D28" s="795" t="s">
        <v>3545</v>
      </c>
      <c r="E28" s="219">
        <f t="shared" ref="E28:K28" si="0">SUM(E9:E27)</f>
        <v>1000977.34</v>
      </c>
      <c r="F28" s="219">
        <f>SUM(F9:F27)</f>
        <v>1180232.79</v>
      </c>
      <c r="G28" s="219">
        <f t="shared" si="0"/>
        <v>1703000</v>
      </c>
      <c r="H28" s="219">
        <f t="shared" si="0"/>
        <v>490223.16000000003</v>
      </c>
      <c r="I28" s="219">
        <f t="shared" si="0"/>
        <v>2509145.08</v>
      </c>
      <c r="J28" s="219">
        <f t="shared" si="0"/>
        <v>0</v>
      </c>
      <c r="K28" s="219">
        <f t="shared" si="0"/>
        <v>1369043.0199999998</v>
      </c>
      <c r="L28" s="227">
        <f>SUM(L9:L27)</f>
        <v>1720608.0699999998</v>
      </c>
    </row>
    <row r="29" spans="1:13" ht="13.5" customHeight="1" thickTop="1">
      <c r="B29" s="154"/>
      <c r="C29" s="44" t="s">
        <v>663</v>
      </c>
      <c r="D29" s="152"/>
      <c r="E29" s="286"/>
      <c r="F29" s="286"/>
      <c r="G29" s="286"/>
      <c r="H29" s="286"/>
      <c r="I29" s="286"/>
      <c r="J29" s="286"/>
      <c r="K29" s="755"/>
      <c r="L29" s="755"/>
    </row>
    <row r="30" spans="1:13">
      <c r="K30" s="325"/>
      <c r="L30" s="287"/>
    </row>
    <row r="33" spans="5:12">
      <c r="E33" s="325"/>
      <c r="F33" s="325"/>
    </row>
    <row r="34" spans="5:12">
      <c r="K34" s="325"/>
      <c r="L34" s="325"/>
    </row>
    <row r="35" spans="5:12">
      <c r="L35" s="325"/>
    </row>
    <row r="36" spans="5:12">
      <c r="L36" s="325"/>
    </row>
    <row r="38" spans="5:12">
      <c r="L38"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26">
    <mergeCell ref="B7:D7"/>
    <mergeCell ref="A12:A24"/>
    <mergeCell ref="B2:L2"/>
    <mergeCell ref="B3:L3"/>
    <mergeCell ref="E4:F6"/>
    <mergeCell ref="K4:L6"/>
    <mergeCell ref="B5:D5"/>
    <mergeCell ref="B6:D6"/>
    <mergeCell ref="B10:D10"/>
    <mergeCell ref="B11:D11"/>
    <mergeCell ref="B12:D12"/>
    <mergeCell ref="B13:D13"/>
    <mergeCell ref="B14:D14"/>
    <mergeCell ref="B15:D15"/>
    <mergeCell ref="B16:D16"/>
    <mergeCell ref="B17:D17"/>
    <mergeCell ref="B18:D18"/>
    <mergeCell ref="B19:D19"/>
    <mergeCell ref="B20:D20"/>
    <mergeCell ref="B21:D21"/>
    <mergeCell ref="B22:D22"/>
    <mergeCell ref="B27:D27"/>
    <mergeCell ref="B23:D23"/>
    <mergeCell ref="B24:D24"/>
    <mergeCell ref="B25:D25"/>
    <mergeCell ref="B26:D26"/>
  </mergeCells>
  <pageMargins left="0.25" right="0.25" top="0.5" bottom="0.5" header="0.25" footer="0.25"/>
  <pageSetup paperSize="5" orientation="landscape" r:id="rId5"/>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4"/>
  <dimension ref="A1:M38"/>
  <sheetViews>
    <sheetView zoomScaleNormal="100" workbookViewId="0">
      <selection activeCell="B1" sqref="B1"/>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5.33203125" style="322" customWidth="1"/>
    <col min="14" max="16384" width="9.109375" style="322"/>
  </cols>
  <sheetData>
    <row r="1" spans="1:13" ht="8.25" customHeight="1"/>
    <row r="2" spans="1:13" ht="20.399999999999999">
      <c r="B2" s="1508" t="s">
        <v>665</v>
      </c>
      <c r="C2" s="1508"/>
      <c r="D2" s="1508"/>
      <c r="E2" s="1508"/>
      <c r="F2" s="1508"/>
      <c r="G2" s="1508"/>
      <c r="H2" s="1508"/>
      <c r="I2" s="1508"/>
      <c r="J2" s="1508"/>
      <c r="K2" s="1508"/>
      <c r="L2" s="1508"/>
    </row>
    <row r="3" spans="1:13" ht="9.75" customHeight="1" thickBot="1">
      <c r="B3" s="1508"/>
      <c r="C3" s="1508"/>
      <c r="D3" s="1508"/>
      <c r="E3" s="1508"/>
      <c r="F3" s="1508"/>
      <c r="G3" s="1508"/>
      <c r="H3" s="1508"/>
      <c r="I3" s="1508"/>
      <c r="J3" s="1508"/>
      <c r="K3" s="1508"/>
      <c r="L3" s="1508"/>
    </row>
    <row r="4" spans="1:13" ht="13.5" customHeight="1" thickTop="1">
      <c r="B4" s="11"/>
      <c r="C4" s="11"/>
      <c r="D4" s="11"/>
      <c r="E4" s="1737" t="str">
        <f>'35- Cap Fund Imprv Auth'!E4:F6</f>
        <v>Balance - January 1, 2019</v>
      </c>
      <c r="F4" s="1619"/>
      <c r="G4" s="12"/>
      <c r="H4" s="12"/>
      <c r="I4" s="12"/>
      <c r="J4" s="12"/>
      <c r="K4" s="1737" t="str">
        <f>'35- Cap Fund Imprv Auth'!K4:L6</f>
        <v>Balance - December 31, 2019</v>
      </c>
      <c r="L4" s="1742"/>
    </row>
    <row r="5" spans="1:13" ht="13.5" customHeight="1">
      <c r="B5" s="1546" t="s">
        <v>656</v>
      </c>
      <c r="C5" s="1546"/>
      <c r="D5" s="1595"/>
      <c r="E5" s="1738"/>
      <c r="F5" s="1739"/>
      <c r="G5" s="758"/>
      <c r="H5" s="758"/>
      <c r="I5" s="758"/>
      <c r="J5" s="758"/>
      <c r="K5" s="1738"/>
      <c r="L5" s="1743"/>
    </row>
    <row r="6" spans="1:13" ht="13.5" customHeight="1">
      <c r="B6" s="1546" t="s">
        <v>657</v>
      </c>
      <c r="C6" s="1546"/>
      <c r="D6" s="1595"/>
      <c r="E6" s="1740"/>
      <c r="F6" s="1741"/>
      <c r="G6" s="758">
        <f>'KEY INPUTS'!D34</f>
        <v>2019</v>
      </c>
      <c r="H6" s="921" t="s">
        <v>280</v>
      </c>
      <c r="I6" s="758" t="s">
        <v>302</v>
      </c>
      <c r="J6" s="758" t="s">
        <v>661</v>
      </c>
      <c r="K6" s="1740"/>
      <c r="L6" s="1744"/>
    </row>
    <row r="7" spans="1:13" ht="13.5" customHeight="1">
      <c r="B7" s="1546" t="s">
        <v>658</v>
      </c>
      <c r="C7" s="1546"/>
      <c r="D7" s="1595"/>
      <c r="E7" s="282" t="s">
        <v>659</v>
      </c>
      <c r="F7" s="282" t="s">
        <v>660</v>
      </c>
      <c r="G7" s="282" t="s">
        <v>661</v>
      </c>
      <c r="H7" s="282"/>
      <c r="I7" s="282"/>
      <c r="J7" s="282" t="s">
        <v>558</v>
      </c>
      <c r="K7" s="282" t="s">
        <v>659</v>
      </c>
      <c r="L7" s="21" t="s">
        <v>660</v>
      </c>
    </row>
    <row r="8" spans="1:13" ht="13.5" customHeight="1" thickBot="1">
      <c r="B8" s="10"/>
      <c r="C8" s="10"/>
      <c r="D8" s="10"/>
      <c r="E8" s="14"/>
      <c r="F8" s="14"/>
      <c r="G8" s="16"/>
      <c r="H8" s="16"/>
      <c r="I8" s="14"/>
      <c r="J8" s="14"/>
      <c r="K8" s="16"/>
      <c r="L8" s="156"/>
    </row>
    <row r="9" spans="1:13" ht="21" customHeight="1" thickTop="1">
      <c r="B9" s="229" t="s">
        <v>3546</v>
      </c>
      <c r="C9" s="283"/>
      <c r="D9" s="23"/>
      <c r="E9" s="224">
        <f>+'35.4- Cap Fund Imprv Auth'!E28</f>
        <v>1000977.34</v>
      </c>
      <c r="F9" s="224">
        <f>+'35.4- Cap Fund Imprv Auth'!F28</f>
        <v>1180232.79</v>
      </c>
      <c r="G9" s="224">
        <f>+'35.4- Cap Fund Imprv Auth'!G28</f>
        <v>1703000</v>
      </c>
      <c r="H9" s="224">
        <f>+'35.4- Cap Fund Imprv Auth'!H28</f>
        <v>490223.16000000003</v>
      </c>
      <c r="I9" s="224">
        <f>+'35.4- Cap Fund Imprv Auth'!I28</f>
        <v>2509145.08</v>
      </c>
      <c r="J9" s="224">
        <f>+'35.4- Cap Fund Imprv Auth'!J28</f>
        <v>0</v>
      </c>
      <c r="K9" s="224">
        <f>+'35.4- Cap Fund Imprv Auth'!K28</f>
        <v>1369043.0199999998</v>
      </c>
      <c r="L9" s="225">
        <f>+'35.4- Cap Fund Imprv Auth'!L28</f>
        <v>1720608.0699999998</v>
      </c>
    </row>
    <row r="10" spans="1:13" ht="21" customHeight="1">
      <c r="B10" s="1718"/>
      <c r="C10" s="1718"/>
      <c r="D10" s="1719"/>
      <c r="E10" s="372"/>
      <c r="F10" s="372"/>
      <c r="G10" s="372"/>
      <c r="H10" s="372"/>
      <c r="I10" s="372"/>
      <c r="J10" s="372"/>
      <c r="K10" s="372"/>
      <c r="L10" s="949"/>
    </row>
    <row r="11" spans="1:13" ht="21" customHeight="1">
      <c r="B11" s="1718"/>
      <c r="C11" s="1718"/>
      <c r="D11" s="1719"/>
      <c r="E11" s="372"/>
      <c r="F11" s="372"/>
      <c r="G11" s="372"/>
      <c r="H11" s="372"/>
      <c r="I11" s="372"/>
      <c r="J11" s="372"/>
      <c r="K11" s="372"/>
      <c r="L11" s="949"/>
    </row>
    <row r="12" spans="1:13" ht="21" customHeight="1">
      <c r="A12" s="1577" t="s">
        <v>3630</v>
      </c>
      <c r="B12" s="1718"/>
      <c r="C12" s="1718"/>
      <c r="D12" s="1719"/>
      <c r="E12" s="372"/>
      <c r="F12" s="372"/>
      <c r="G12" s="372"/>
      <c r="H12" s="372"/>
      <c r="I12" s="372"/>
      <c r="J12" s="372"/>
      <c r="K12" s="372"/>
      <c r="L12" s="949"/>
      <c r="M12" s="325"/>
    </row>
    <row r="13" spans="1:13" ht="21" customHeight="1">
      <c r="A13" s="1577"/>
      <c r="B13" s="1718"/>
      <c r="C13" s="1718"/>
      <c r="D13" s="1719"/>
      <c r="E13" s="372"/>
      <c r="F13" s="372"/>
      <c r="G13" s="372"/>
      <c r="H13" s="372"/>
      <c r="I13" s="372"/>
      <c r="J13" s="372"/>
      <c r="K13" s="372"/>
      <c r="L13" s="949"/>
    </row>
    <row r="14" spans="1:13" ht="21" customHeight="1">
      <c r="A14" s="1577"/>
      <c r="B14" s="1718"/>
      <c r="C14" s="1718"/>
      <c r="D14" s="1719"/>
      <c r="E14" s="372"/>
      <c r="F14" s="372"/>
      <c r="G14" s="372"/>
      <c r="H14" s="372"/>
      <c r="I14" s="372"/>
      <c r="J14" s="372"/>
      <c r="K14" s="372"/>
      <c r="L14" s="949"/>
    </row>
    <row r="15" spans="1:13" ht="21" customHeight="1">
      <c r="A15" s="1577"/>
      <c r="B15" s="1718"/>
      <c r="C15" s="1718"/>
      <c r="D15" s="1719"/>
      <c r="E15" s="372"/>
      <c r="F15" s="372"/>
      <c r="G15" s="372"/>
      <c r="H15" s="372"/>
      <c r="I15" s="372"/>
      <c r="J15" s="372"/>
      <c r="K15" s="372"/>
      <c r="L15" s="949"/>
    </row>
    <row r="16" spans="1:13" ht="21" customHeight="1">
      <c r="A16" s="1577"/>
      <c r="B16" s="1718"/>
      <c r="C16" s="1718"/>
      <c r="D16" s="1719"/>
      <c r="E16" s="372"/>
      <c r="F16" s="372"/>
      <c r="G16" s="372"/>
      <c r="H16" s="372"/>
      <c r="I16" s="372"/>
      <c r="J16" s="372"/>
      <c r="K16" s="372"/>
      <c r="L16" s="949"/>
    </row>
    <row r="17" spans="1:13" ht="21" customHeight="1">
      <c r="A17" s="1577"/>
      <c r="B17" s="1718"/>
      <c r="C17" s="1718"/>
      <c r="D17" s="1719"/>
      <c r="E17" s="372"/>
      <c r="F17" s="372"/>
      <c r="G17" s="372"/>
      <c r="H17" s="372"/>
      <c r="I17" s="372"/>
      <c r="J17" s="372"/>
      <c r="K17" s="372"/>
      <c r="L17" s="949"/>
    </row>
    <row r="18" spans="1:13" ht="21" customHeight="1">
      <c r="A18" s="1577"/>
      <c r="B18" s="1718"/>
      <c r="C18" s="1718"/>
      <c r="D18" s="1719"/>
      <c r="E18" s="372"/>
      <c r="F18" s="372"/>
      <c r="G18" s="372"/>
      <c r="H18" s="372"/>
      <c r="I18" s="372"/>
      <c r="J18" s="372"/>
      <c r="K18" s="372"/>
      <c r="L18" s="949"/>
    </row>
    <row r="19" spans="1:13" ht="21" customHeight="1">
      <c r="A19" s="1577"/>
      <c r="B19" s="1718"/>
      <c r="C19" s="1718"/>
      <c r="D19" s="1719"/>
      <c r="E19" s="372"/>
      <c r="F19" s="372"/>
      <c r="G19" s="372"/>
      <c r="H19" s="372"/>
      <c r="I19" s="372"/>
      <c r="J19" s="372"/>
      <c r="K19" s="372"/>
      <c r="L19" s="949"/>
    </row>
    <row r="20" spans="1:13" ht="21" customHeight="1">
      <c r="A20" s="1577"/>
      <c r="B20" s="1718"/>
      <c r="C20" s="1718"/>
      <c r="D20" s="1719"/>
      <c r="E20" s="372"/>
      <c r="F20" s="372"/>
      <c r="G20" s="372"/>
      <c r="H20" s="372"/>
      <c r="I20" s="372"/>
      <c r="J20" s="372"/>
      <c r="K20" s="372"/>
      <c r="L20" s="949"/>
    </row>
    <row r="21" spans="1:13" ht="21" customHeight="1">
      <c r="A21" s="1577"/>
      <c r="B21" s="1718"/>
      <c r="C21" s="1718"/>
      <c r="D21" s="1719"/>
      <c r="E21" s="372"/>
      <c r="F21" s="372"/>
      <c r="G21" s="372"/>
      <c r="H21" s="372"/>
      <c r="I21" s="372"/>
      <c r="J21" s="372"/>
      <c r="K21" s="372"/>
      <c r="L21" s="949"/>
    </row>
    <row r="22" spans="1:13" ht="21" customHeight="1">
      <c r="A22" s="1577"/>
      <c r="B22" s="1718"/>
      <c r="C22" s="1718"/>
      <c r="D22" s="1719"/>
      <c r="E22" s="372"/>
      <c r="F22" s="372"/>
      <c r="G22" s="372"/>
      <c r="H22" s="372"/>
      <c r="I22" s="372"/>
      <c r="J22" s="372"/>
      <c r="K22" s="372"/>
      <c r="L22" s="949"/>
    </row>
    <row r="23" spans="1:13" ht="21" customHeight="1">
      <c r="A23" s="1577"/>
      <c r="B23" s="1718"/>
      <c r="C23" s="1718"/>
      <c r="D23" s="1719"/>
      <c r="E23" s="372"/>
      <c r="F23" s="372"/>
      <c r="G23" s="372"/>
      <c r="H23" s="372"/>
      <c r="I23" s="372"/>
      <c r="J23" s="372"/>
      <c r="K23" s="372"/>
      <c r="L23" s="949"/>
    </row>
    <row r="24" spans="1:13" ht="21" customHeight="1">
      <c r="A24" s="1577"/>
      <c r="B24" s="1718"/>
      <c r="C24" s="1718"/>
      <c r="D24" s="1719"/>
      <c r="E24" s="372"/>
      <c r="F24" s="372"/>
      <c r="G24" s="372"/>
      <c r="H24" s="372"/>
      <c r="I24" s="372"/>
      <c r="J24" s="372"/>
      <c r="K24" s="372"/>
      <c r="L24" s="949"/>
      <c r="M24" s="325"/>
    </row>
    <row r="25" spans="1:13" ht="21" customHeight="1">
      <c r="B25" s="1718"/>
      <c r="C25" s="1718"/>
      <c r="D25" s="1719"/>
      <c r="E25" s="372"/>
      <c r="F25" s="372"/>
      <c r="G25" s="372"/>
      <c r="H25" s="372"/>
      <c r="I25" s="372"/>
      <c r="J25" s="372"/>
      <c r="K25" s="372"/>
      <c r="L25" s="949"/>
    </row>
    <row r="26" spans="1:13" ht="21" customHeight="1">
      <c r="B26" s="1718"/>
      <c r="C26" s="1718"/>
      <c r="D26" s="1719"/>
      <c r="E26" s="372"/>
      <c r="F26" s="372"/>
      <c r="G26" s="372"/>
      <c r="H26" s="372"/>
      <c r="I26" s="372"/>
      <c r="J26" s="372"/>
      <c r="K26" s="372"/>
      <c r="L26" s="949"/>
    </row>
    <row r="27" spans="1:13" ht="21" customHeight="1" thickBot="1">
      <c r="B27" s="1718"/>
      <c r="C27" s="1718"/>
      <c r="D27" s="1719"/>
      <c r="E27" s="637"/>
      <c r="F27" s="637"/>
      <c r="G27" s="637"/>
      <c r="H27" s="637"/>
      <c r="I27" s="637"/>
      <c r="J27" s="637"/>
      <c r="K27" s="637"/>
      <c r="L27" s="1013"/>
    </row>
    <row r="28" spans="1:13" ht="21" customHeight="1" thickTop="1" thickBot="1">
      <c r="B28" s="148"/>
      <c r="C28" s="27"/>
      <c r="D28" s="795" t="s">
        <v>3545</v>
      </c>
      <c r="E28" s="219">
        <f t="shared" ref="E28:K28" si="0">SUM(E9:E27)</f>
        <v>1000977.34</v>
      </c>
      <c r="F28" s="219">
        <f>SUM(F9:F27)</f>
        <v>1180232.79</v>
      </c>
      <c r="G28" s="219">
        <f t="shared" si="0"/>
        <v>1703000</v>
      </c>
      <c r="H28" s="219">
        <f t="shared" si="0"/>
        <v>490223.16000000003</v>
      </c>
      <c r="I28" s="219">
        <f t="shared" si="0"/>
        <v>2509145.08</v>
      </c>
      <c r="J28" s="219">
        <f t="shared" si="0"/>
        <v>0</v>
      </c>
      <c r="K28" s="219">
        <f t="shared" si="0"/>
        <v>1369043.0199999998</v>
      </c>
      <c r="L28" s="227">
        <f>SUM(L9:L27)</f>
        <v>1720608.0699999998</v>
      </c>
    </row>
    <row r="29" spans="1:13" ht="13.5" customHeight="1" thickTop="1">
      <c r="B29" s="154"/>
      <c r="C29" s="44" t="s">
        <v>663</v>
      </c>
      <c r="D29" s="152"/>
      <c r="E29" s="286"/>
      <c r="F29" s="286"/>
      <c r="G29" s="286"/>
      <c r="H29" s="286"/>
      <c r="I29" s="286"/>
      <c r="J29" s="286"/>
      <c r="K29" s="755"/>
      <c r="L29" s="755"/>
    </row>
    <row r="30" spans="1:13">
      <c r="K30" s="325"/>
      <c r="L30" s="287"/>
    </row>
    <row r="33" spans="5:12">
      <c r="E33" s="325"/>
      <c r="F33" s="325"/>
    </row>
    <row r="34" spans="5:12">
      <c r="K34" s="325"/>
      <c r="L34" s="325"/>
    </row>
    <row r="35" spans="5:12">
      <c r="L35" s="325"/>
    </row>
    <row r="36" spans="5:12">
      <c r="L36" s="325"/>
    </row>
    <row r="38" spans="5:12">
      <c r="L38"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26">
    <mergeCell ref="B7:D7"/>
    <mergeCell ref="A12:A24"/>
    <mergeCell ref="B2:L2"/>
    <mergeCell ref="B3:L3"/>
    <mergeCell ref="E4:F6"/>
    <mergeCell ref="K4:L6"/>
    <mergeCell ref="B5:D5"/>
    <mergeCell ref="B6:D6"/>
    <mergeCell ref="B10:D10"/>
    <mergeCell ref="B11:D11"/>
    <mergeCell ref="B12:D12"/>
    <mergeCell ref="B13:D13"/>
    <mergeCell ref="B14:D14"/>
    <mergeCell ref="B15:D15"/>
    <mergeCell ref="B16:D16"/>
    <mergeCell ref="B17:D17"/>
    <mergeCell ref="B18:D18"/>
    <mergeCell ref="B19:D19"/>
    <mergeCell ref="B20:D20"/>
    <mergeCell ref="B21:D21"/>
    <mergeCell ref="B22:D22"/>
    <mergeCell ref="B27:D27"/>
    <mergeCell ref="B23:D23"/>
    <mergeCell ref="B24:D24"/>
    <mergeCell ref="B25:D25"/>
    <mergeCell ref="B26:D26"/>
  </mergeCells>
  <pageMargins left="0.25" right="0.25" top="0.5" bottom="0.5" header="0.25" footer="0.25"/>
  <pageSetup paperSize="5" orientation="landscape" r:id="rId5"/>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5"/>
  <dimension ref="A1:M38"/>
  <sheetViews>
    <sheetView zoomScaleNormal="100" workbookViewId="0">
      <selection activeCell="B1" sqref="B1"/>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5.33203125" style="322" customWidth="1"/>
    <col min="14" max="16384" width="9.109375" style="322"/>
  </cols>
  <sheetData>
    <row r="1" spans="1:13" ht="8.25" customHeight="1"/>
    <row r="2" spans="1:13" ht="20.399999999999999">
      <c r="B2" s="1508" t="s">
        <v>665</v>
      </c>
      <c r="C2" s="1508"/>
      <c r="D2" s="1508"/>
      <c r="E2" s="1508"/>
      <c r="F2" s="1508"/>
      <c r="G2" s="1508"/>
      <c r="H2" s="1508"/>
      <c r="I2" s="1508"/>
      <c r="J2" s="1508"/>
      <c r="K2" s="1508"/>
      <c r="L2" s="1508"/>
    </row>
    <row r="3" spans="1:13" ht="9.75" customHeight="1" thickBot="1">
      <c r="B3" s="1508"/>
      <c r="C3" s="1508"/>
      <c r="D3" s="1508"/>
      <c r="E3" s="1508"/>
      <c r="F3" s="1508"/>
      <c r="G3" s="1508"/>
      <c r="H3" s="1508"/>
      <c r="I3" s="1508"/>
      <c r="J3" s="1508"/>
      <c r="K3" s="1508"/>
      <c r="L3" s="1508"/>
    </row>
    <row r="4" spans="1:13" ht="13.5" customHeight="1" thickTop="1">
      <c r="B4" s="11"/>
      <c r="C4" s="11"/>
      <c r="D4" s="11"/>
      <c r="E4" s="1737" t="str">
        <f>'35- Cap Fund Imprv Auth'!E4:F6</f>
        <v>Balance - January 1, 2019</v>
      </c>
      <c r="F4" s="1619"/>
      <c r="G4" s="12"/>
      <c r="H4" s="12"/>
      <c r="I4" s="12"/>
      <c r="J4" s="12"/>
      <c r="K4" s="1737" t="str">
        <f>'35- Cap Fund Imprv Auth'!K4:L6</f>
        <v>Balance - December 31, 2019</v>
      </c>
      <c r="L4" s="1742"/>
    </row>
    <row r="5" spans="1:13" ht="13.5" customHeight="1">
      <c r="B5" s="1546" t="s">
        <v>656</v>
      </c>
      <c r="C5" s="1546"/>
      <c r="D5" s="1595"/>
      <c r="E5" s="1738"/>
      <c r="F5" s="1739"/>
      <c r="G5" s="758"/>
      <c r="H5" s="758"/>
      <c r="I5" s="758"/>
      <c r="J5" s="758"/>
      <c r="K5" s="1738"/>
      <c r="L5" s="1743"/>
    </row>
    <row r="6" spans="1:13" ht="13.5" customHeight="1">
      <c r="B6" s="1546" t="s">
        <v>657</v>
      </c>
      <c r="C6" s="1546"/>
      <c r="D6" s="1595"/>
      <c r="E6" s="1740"/>
      <c r="F6" s="1741"/>
      <c r="G6" s="758">
        <f>'KEY INPUTS'!D34</f>
        <v>2019</v>
      </c>
      <c r="H6" s="921" t="s">
        <v>280</v>
      </c>
      <c r="I6" s="758" t="s">
        <v>302</v>
      </c>
      <c r="J6" s="758" t="s">
        <v>661</v>
      </c>
      <c r="K6" s="1740"/>
      <c r="L6" s="1744"/>
    </row>
    <row r="7" spans="1:13" ht="13.5" customHeight="1">
      <c r="B7" s="1546" t="s">
        <v>658</v>
      </c>
      <c r="C7" s="1546"/>
      <c r="D7" s="1595"/>
      <c r="E7" s="282" t="s">
        <v>659</v>
      </c>
      <c r="F7" s="282" t="s">
        <v>660</v>
      </c>
      <c r="G7" s="282" t="s">
        <v>661</v>
      </c>
      <c r="H7" s="282"/>
      <c r="I7" s="282"/>
      <c r="J7" s="282" t="s">
        <v>558</v>
      </c>
      <c r="K7" s="282" t="s">
        <v>659</v>
      </c>
      <c r="L7" s="21" t="s">
        <v>660</v>
      </c>
    </row>
    <row r="8" spans="1:13" ht="13.5" customHeight="1" thickBot="1">
      <c r="B8" s="10"/>
      <c r="C8" s="10"/>
      <c r="D8" s="10"/>
      <c r="E8" s="14"/>
      <c r="F8" s="14"/>
      <c r="G8" s="16"/>
      <c r="H8" s="16"/>
      <c r="I8" s="14"/>
      <c r="J8" s="14"/>
      <c r="K8" s="16"/>
      <c r="L8" s="156"/>
    </row>
    <row r="9" spans="1:13" ht="21" customHeight="1" thickTop="1">
      <c r="B9" s="229" t="s">
        <v>3546</v>
      </c>
      <c r="C9" s="283"/>
      <c r="D9" s="23"/>
      <c r="E9" s="224">
        <f>+'35.5- Cap Fund Imprv Auth'!E28</f>
        <v>1000977.34</v>
      </c>
      <c r="F9" s="224">
        <f>+'35.5- Cap Fund Imprv Auth'!F28</f>
        <v>1180232.79</v>
      </c>
      <c r="G9" s="224">
        <f>+'35.5- Cap Fund Imprv Auth'!G28</f>
        <v>1703000</v>
      </c>
      <c r="H9" s="224">
        <f>+'35.5- Cap Fund Imprv Auth'!H28</f>
        <v>490223.16000000003</v>
      </c>
      <c r="I9" s="224">
        <f>+'35.5- Cap Fund Imprv Auth'!I28</f>
        <v>2509145.08</v>
      </c>
      <c r="J9" s="224">
        <f>+'35.5- Cap Fund Imprv Auth'!J28</f>
        <v>0</v>
      </c>
      <c r="K9" s="224">
        <f>+'35.5- Cap Fund Imprv Auth'!K28</f>
        <v>1369043.0199999998</v>
      </c>
      <c r="L9" s="225">
        <f>+'35.5- Cap Fund Imprv Auth'!L28</f>
        <v>1720608.0699999998</v>
      </c>
    </row>
    <row r="10" spans="1:13" ht="21" customHeight="1">
      <c r="B10" s="1718"/>
      <c r="C10" s="1718"/>
      <c r="D10" s="1719"/>
      <c r="E10" s="372"/>
      <c r="F10" s="372"/>
      <c r="G10" s="372"/>
      <c r="H10" s="372"/>
      <c r="I10" s="372"/>
      <c r="J10" s="372"/>
      <c r="K10" s="372"/>
      <c r="L10" s="949"/>
    </row>
    <row r="11" spans="1:13" ht="21" customHeight="1">
      <c r="B11" s="1718"/>
      <c r="C11" s="1718"/>
      <c r="D11" s="1719"/>
      <c r="E11" s="372"/>
      <c r="F11" s="372"/>
      <c r="G11" s="372"/>
      <c r="H11" s="372"/>
      <c r="I11" s="372"/>
      <c r="J11" s="372"/>
      <c r="K11" s="372"/>
      <c r="L11" s="949"/>
    </row>
    <row r="12" spans="1:13" ht="21" customHeight="1">
      <c r="A12" s="1577" t="s">
        <v>3631</v>
      </c>
      <c r="B12" s="1718"/>
      <c r="C12" s="1718"/>
      <c r="D12" s="1719"/>
      <c r="E12" s="372"/>
      <c r="F12" s="372"/>
      <c r="G12" s="372"/>
      <c r="H12" s="372"/>
      <c r="I12" s="372"/>
      <c r="J12" s="372"/>
      <c r="K12" s="372"/>
      <c r="L12" s="949"/>
      <c r="M12" s="325"/>
    </row>
    <row r="13" spans="1:13" ht="21" customHeight="1">
      <c r="A13" s="1577"/>
      <c r="B13" s="1718"/>
      <c r="C13" s="1718"/>
      <c r="D13" s="1719"/>
      <c r="E13" s="372"/>
      <c r="F13" s="372"/>
      <c r="G13" s="372"/>
      <c r="H13" s="372"/>
      <c r="I13" s="372"/>
      <c r="J13" s="372"/>
      <c r="K13" s="372"/>
      <c r="L13" s="949"/>
    </row>
    <row r="14" spans="1:13" ht="21" customHeight="1">
      <c r="A14" s="1577"/>
      <c r="B14" s="1718"/>
      <c r="C14" s="1718"/>
      <c r="D14" s="1719"/>
      <c r="E14" s="372"/>
      <c r="F14" s="372"/>
      <c r="G14" s="372"/>
      <c r="H14" s="372"/>
      <c r="I14" s="372"/>
      <c r="J14" s="372"/>
      <c r="K14" s="372"/>
      <c r="L14" s="949"/>
    </row>
    <row r="15" spans="1:13" ht="21" customHeight="1">
      <c r="A15" s="1577"/>
      <c r="B15" s="1718"/>
      <c r="C15" s="1718"/>
      <c r="D15" s="1719"/>
      <c r="E15" s="372"/>
      <c r="F15" s="372"/>
      <c r="G15" s="372"/>
      <c r="H15" s="372"/>
      <c r="I15" s="372"/>
      <c r="J15" s="372"/>
      <c r="K15" s="372"/>
      <c r="L15" s="949"/>
    </row>
    <row r="16" spans="1:13" ht="21" customHeight="1">
      <c r="A16" s="1577"/>
      <c r="B16" s="1718"/>
      <c r="C16" s="1718"/>
      <c r="D16" s="1719"/>
      <c r="E16" s="372"/>
      <c r="F16" s="372"/>
      <c r="G16" s="372"/>
      <c r="H16" s="372"/>
      <c r="I16" s="372"/>
      <c r="J16" s="372"/>
      <c r="K16" s="372"/>
      <c r="L16" s="949"/>
    </row>
    <row r="17" spans="1:13" ht="21" customHeight="1">
      <c r="A17" s="1577"/>
      <c r="B17" s="1718"/>
      <c r="C17" s="1718"/>
      <c r="D17" s="1719"/>
      <c r="E17" s="372"/>
      <c r="F17" s="372"/>
      <c r="G17" s="372"/>
      <c r="H17" s="372"/>
      <c r="I17" s="372"/>
      <c r="J17" s="372"/>
      <c r="K17" s="372"/>
      <c r="L17" s="949"/>
    </row>
    <row r="18" spans="1:13" ht="21" customHeight="1">
      <c r="A18" s="1577"/>
      <c r="B18" s="1718"/>
      <c r="C18" s="1718"/>
      <c r="D18" s="1719"/>
      <c r="E18" s="372"/>
      <c r="F18" s="372"/>
      <c r="G18" s="372"/>
      <c r="H18" s="372"/>
      <c r="I18" s="372"/>
      <c r="J18" s="372"/>
      <c r="K18" s="372"/>
      <c r="L18" s="949"/>
    </row>
    <row r="19" spans="1:13" ht="21" customHeight="1">
      <c r="A19" s="1577"/>
      <c r="B19" s="1718"/>
      <c r="C19" s="1718"/>
      <c r="D19" s="1719"/>
      <c r="E19" s="372"/>
      <c r="F19" s="372"/>
      <c r="G19" s="372"/>
      <c r="H19" s="372"/>
      <c r="I19" s="372"/>
      <c r="J19" s="372"/>
      <c r="K19" s="372"/>
      <c r="L19" s="949"/>
    </row>
    <row r="20" spans="1:13" ht="21" customHeight="1">
      <c r="A20" s="1577"/>
      <c r="B20" s="1718"/>
      <c r="C20" s="1718"/>
      <c r="D20" s="1719"/>
      <c r="E20" s="372"/>
      <c r="F20" s="372"/>
      <c r="G20" s="372"/>
      <c r="H20" s="372"/>
      <c r="I20" s="372"/>
      <c r="J20" s="372"/>
      <c r="K20" s="372"/>
      <c r="L20" s="949"/>
    </row>
    <row r="21" spans="1:13" ht="21" customHeight="1">
      <c r="A21" s="1577"/>
      <c r="B21" s="1718"/>
      <c r="C21" s="1718"/>
      <c r="D21" s="1719"/>
      <c r="E21" s="372"/>
      <c r="F21" s="372"/>
      <c r="G21" s="372"/>
      <c r="H21" s="372"/>
      <c r="I21" s="372"/>
      <c r="J21" s="372"/>
      <c r="K21" s="372"/>
      <c r="L21" s="949"/>
    </row>
    <row r="22" spans="1:13" ht="21" customHeight="1">
      <c r="A22" s="1577"/>
      <c r="B22" s="1718"/>
      <c r="C22" s="1718"/>
      <c r="D22" s="1719"/>
      <c r="E22" s="372"/>
      <c r="F22" s="372"/>
      <c r="G22" s="372"/>
      <c r="H22" s="372"/>
      <c r="I22" s="372"/>
      <c r="J22" s="372"/>
      <c r="K22" s="372"/>
      <c r="L22" s="949"/>
    </row>
    <row r="23" spans="1:13" ht="21" customHeight="1">
      <c r="A23" s="1577"/>
      <c r="B23" s="1718"/>
      <c r="C23" s="1718"/>
      <c r="D23" s="1719"/>
      <c r="E23" s="372"/>
      <c r="F23" s="372"/>
      <c r="G23" s="372"/>
      <c r="H23" s="372"/>
      <c r="I23" s="372"/>
      <c r="J23" s="372"/>
      <c r="K23" s="372"/>
      <c r="L23" s="949"/>
    </row>
    <row r="24" spans="1:13" ht="21" customHeight="1">
      <c r="A24" s="1577"/>
      <c r="B24" s="1718"/>
      <c r="C24" s="1718"/>
      <c r="D24" s="1719"/>
      <c r="E24" s="372"/>
      <c r="F24" s="372"/>
      <c r="G24" s="372"/>
      <c r="H24" s="372"/>
      <c r="I24" s="372"/>
      <c r="J24" s="372"/>
      <c r="K24" s="372"/>
      <c r="L24" s="949"/>
      <c r="M24" s="325"/>
    </row>
    <row r="25" spans="1:13" ht="21" customHeight="1">
      <c r="B25" s="1718"/>
      <c r="C25" s="1718"/>
      <c r="D25" s="1719"/>
      <c r="E25" s="372"/>
      <c r="F25" s="372"/>
      <c r="G25" s="372"/>
      <c r="H25" s="372"/>
      <c r="I25" s="372"/>
      <c r="J25" s="372"/>
      <c r="K25" s="372"/>
      <c r="L25" s="949"/>
    </row>
    <row r="26" spans="1:13" ht="21" customHeight="1">
      <c r="B26" s="1718"/>
      <c r="C26" s="1718"/>
      <c r="D26" s="1719"/>
      <c r="E26" s="372"/>
      <c r="F26" s="372"/>
      <c r="G26" s="372"/>
      <c r="H26" s="372"/>
      <c r="I26" s="372"/>
      <c r="J26" s="372"/>
      <c r="K26" s="372"/>
      <c r="L26" s="949"/>
    </row>
    <row r="27" spans="1:13" ht="21" customHeight="1" thickBot="1">
      <c r="B27" s="1718"/>
      <c r="C27" s="1718"/>
      <c r="D27" s="1719"/>
      <c r="E27" s="637"/>
      <c r="F27" s="637"/>
      <c r="G27" s="637"/>
      <c r="H27" s="637"/>
      <c r="I27" s="637"/>
      <c r="J27" s="637"/>
      <c r="K27" s="637"/>
      <c r="L27" s="1013"/>
    </row>
    <row r="28" spans="1:13" ht="21" customHeight="1" thickTop="1" thickBot="1">
      <c r="B28" s="148"/>
      <c r="C28" s="27"/>
      <c r="D28" s="795" t="s">
        <v>3545</v>
      </c>
      <c r="E28" s="219">
        <f t="shared" ref="E28:K28" si="0">SUM(E9:E27)</f>
        <v>1000977.34</v>
      </c>
      <c r="F28" s="219">
        <f>SUM(F9:F27)</f>
        <v>1180232.79</v>
      </c>
      <c r="G28" s="219">
        <f t="shared" si="0"/>
        <v>1703000</v>
      </c>
      <c r="H28" s="219">
        <f t="shared" si="0"/>
        <v>490223.16000000003</v>
      </c>
      <c r="I28" s="219">
        <f t="shared" si="0"/>
        <v>2509145.08</v>
      </c>
      <c r="J28" s="219">
        <f t="shared" si="0"/>
        <v>0</v>
      </c>
      <c r="K28" s="219">
        <f t="shared" si="0"/>
        <v>1369043.0199999998</v>
      </c>
      <c r="L28" s="227">
        <f>SUM(L9:L27)</f>
        <v>1720608.0699999998</v>
      </c>
    </row>
    <row r="29" spans="1:13" ht="13.5" customHeight="1" thickTop="1">
      <c r="B29" s="154"/>
      <c r="C29" s="44" t="s">
        <v>663</v>
      </c>
      <c r="D29" s="152"/>
      <c r="E29" s="286"/>
      <c r="F29" s="286"/>
      <c r="G29" s="286"/>
      <c r="H29" s="286"/>
      <c r="I29" s="286"/>
      <c r="J29" s="286"/>
      <c r="K29" s="755"/>
      <c r="L29" s="755"/>
    </row>
    <row r="30" spans="1:13">
      <c r="K30" s="325"/>
      <c r="L30" s="287"/>
    </row>
    <row r="33" spans="5:12">
      <c r="E33" s="325"/>
      <c r="F33" s="325"/>
    </row>
    <row r="34" spans="5:12">
      <c r="K34" s="325"/>
      <c r="L34" s="325"/>
    </row>
    <row r="35" spans="5:12">
      <c r="L35" s="325"/>
    </row>
    <row r="36" spans="5:12">
      <c r="L36" s="325"/>
    </row>
    <row r="38" spans="5:12">
      <c r="L38"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26">
    <mergeCell ref="B7:D7"/>
    <mergeCell ref="A12:A24"/>
    <mergeCell ref="B2:L2"/>
    <mergeCell ref="B3:L3"/>
    <mergeCell ref="E4:F6"/>
    <mergeCell ref="K4:L6"/>
    <mergeCell ref="B5:D5"/>
    <mergeCell ref="B6:D6"/>
    <mergeCell ref="B10:D10"/>
    <mergeCell ref="B11:D11"/>
    <mergeCell ref="B12:D12"/>
    <mergeCell ref="B13:D13"/>
    <mergeCell ref="B14:D14"/>
    <mergeCell ref="B15:D15"/>
    <mergeCell ref="B16:D16"/>
    <mergeCell ref="B17:D17"/>
    <mergeCell ref="B18:D18"/>
    <mergeCell ref="B19:D19"/>
    <mergeCell ref="B20:D20"/>
    <mergeCell ref="B21:D21"/>
    <mergeCell ref="B22:D22"/>
    <mergeCell ref="B27:D27"/>
    <mergeCell ref="B23:D23"/>
    <mergeCell ref="B24:D24"/>
    <mergeCell ref="B25:D25"/>
    <mergeCell ref="B26:D26"/>
  </mergeCells>
  <pageMargins left="0.25" right="0.25" top="0.5" bottom="0.5" header="0.25" footer="0.25"/>
  <pageSetup paperSize="5" orientation="landscape" r:id="rId5"/>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6"/>
  <dimension ref="A1:M38"/>
  <sheetViews>
    <sheetView zoomScaleNormal="100" workbookViewId="0">
      <selection activeCell="B1" sqref="B1"/>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5.33203125" style="322" customWidth="1"/>
    <col min="14" max="16384" width="9.109375" style="322"/>
  </cols>
  <sheetData>
    <row r="1" spans="1:13" ht="8.25" customHeight="1"/>
    <row r="2" spans="1:13" ht="20.399999999999999">
      <c r="B2" s="1508" t="s">
        <v>665</v>
      </c>
      <c r="C2" s="1508"/>
      <c r="D2" s="1508"/>
      <c r="E2" s="1508"/>
      <c r="F2" s="1508"/>
      <c r="G2" s="1508"/>
      <c r="H2" s="1508"/>
      <c r="I2" s="1508"/>
      <c r="J2" s="1508"/>
      <c r="K2" s="1508"/>
      <c r="L2" s="1508"/>
    </row>
    <row r="3" spans="1:13" ht="9.75" customHeight="1" thickBot="1">
      <c r="B3" s="1508"/>
      <c r="C3" s="1508"/>
      <c r="D3" s="1508"/>
      <c r="E3" s="1508"/>
      <c r="F3" s="1508"/>
      <c r="G3" s="1508"/>
      <c r="H3" s="1508"/>
      <c r="I3" s="1508"/>
      <c r="J3" s="1508"/>
      <c r="K3" s="1508"/>
      <c r="L3" s="1508"/>
    </row>
    <row r="4" spans="1:13" ht="13.5" customHeight="1" thickTop="1">
      <c r="B4" s="11"/>
      <c r="C4" s="11"/>
      <c r="D4" s="11"/>
      <c r="E4" s="1737" t="str">
        <f>'35- Cap Fund Imprv Auth'!E4:F6</f>
        <v>Balance - January 1, 2019</v>
      </c>
      <c r="F4" s="1619"/>
      <c r="G4" s="12"/>
      <c r="H4" s="12"/>
      <c r="I4" s="12"/>
      <c r="J4" s="12"/>
      <c r="K4" s="1737" t="str">
        <f>'35- Cap Fund Imprv Auth'!K4:L6</f>
        <v>Balance - December 31, 2019</v>
      </c>
      <c r="L4" s="1742"/>
    </row>
    <row r="5" spans="1:13" ht="13.5" customHeight="1">
      <c r="B5" s="1546" t="s">
        <v>656</v>
      </c>
      <c r="C5" s="1546"/>
      <c r="D5" s="1595"/>
      <c r="E5" s="1738"/>
      <c r="F5" s="1739"/>
      <c r="G5" s="758"/>
      <c r="H5" s="758"/>
      <c r="I5" s="758"/>
      <c r="J5" s="758"/>
      <c r="K5" s="1738"/>
      <c r="L5" s="1743"/>
    </row>
    <row r="6" spans="1:13" ht="13.5" customHeight="1">
      <c r="B6" s="1546" t="s">
        <v>657</v>
      </c>
      <c r="C6" s="1546"/>
      <c r="D6" s="1595"/>
      <c r="E6" s="1740"/>
      <c r="F6" s="1741"/>
      <c r="G6" s="758">
        <f>'KEY INPUTS'!D34</f>
        <v>2019</v>
      </c>
      <c r="H6" s="921" t="s">
        <v>280</v>
      </c>
      <c r="I6" s="758" t="s">
        <v>302</v>
      </c>
      <c r="J6" s="758" t="s">
        <v>661</v>
      </c>
      <c r="K6" s="1740"/>
      <c r="L6" s="1744"/>
    </row>
    <row r="7" spans="1:13" ht="13.5" customHeight="1">
      <c r="B7" s="1546" t="s">
        <v>658</v>
      </c>
      <c r="C7" s="1546"/>
      <c r="D7" s="1595"/>
      <c r="E7" s="282" t="s">
        <v>659</v>
      </c>
      <c r="F7" s="282" t="s">
        <v>660</v>
      </c>
      <c r="G7" s="282" t="s">
        <v>661</v>
      </c>
      <c r="H7" s="282"/>
      <c r="I7" s="282"/>
      <c r="J7" s="282" t="s">
        <v>558</v>
      </c>
      <c r="K7" s="282" t="s">
        <v>659</v>
      </c>
      <c r="L7" s="21" t="s">
        <v>660</v>
      </c>
    </row>
    <row r="8" spans="1:13" ht="13.5" customHeight="1" thickBot="1">
      <c r="B8" s="10"/>
      <c r="C8" s="10"/>
      <c r="D8" s="10"/>
      <c r="E8" s="14"/>
      <c r="F8" s="14"/>
      <c r="G8" s="16"/>
      <c r="H8" s="16"/>
      <c r="I8" s="14"/>
      <c r="J8" s="14"/>
      <c r="K8" s="16"/>
      <c r="L8" s="156"/>
    </row>
    <row r="9" spans="1:13" ht="21" customHeight="1" thickTop="1">
      <c r="B9" s="229" t="s">
        <v>3546</v>
      </c>
      <c r="C9" s="283"/>
      <c r="D9" s="23"/>
      <c r="E9" s="224">
        <f>+'35.6- Cap Fund Imprv Auth'!E28</f>
        <v>1000977.34</v>
      </c>
      <c r="F9" s="224">
        <f>+'35.6- Cap Fund Imprv Auth'!F28</f>
        <v>1180232.79</v>
      </c>
      <c r="G9" s="224">
        <f>+'35.6- Cap Fund Imprv Auth'!G28</f>
        <v>1703000</v>
      </c>
      <c r="H9" s="224">
        <f>+'35.6- Cap Fund Imprv Auth'!H28</f>
        <v>490223.16000000003</v>
      </c>
      <c r="I9" s="224">
        <f>+'35.6- Cap Fund Imprv Auth'!I28</f>
        <v>2509145.08</v>
      </c>
      <c r="J9" s="224">
        <f>+'35.6- Cap Fund Imprv Auth'!J28</f>
        <v>0</v>
      </c>
      <c r="K9" s="224">
        <f>+'35.6- Cap Fund Imprv Auth'!K28</f>
        <v>1369043.0199999998</v>
      </c>
      <c r="L9" s="225">
        <f>+'35.6- Cap Fund Imprv Auth'!L28</f>
        <v>1720608.0699999998</v>
      </c>
    </row>
    <row r="10" spans="1:13" ht="21" customHeight="1">
      <c r="B10" s="1718"/>
      <c r="C10" s="1718"/>
      <c r="D10" s="1719"/>
      <c r="E10" s="372"/>
      <c r="F10" s="372"/>
      <c r="G10" s="372"/>
      <c r="H10" s="372"/>
      <c r="I10" s="372"/>
      <c r="J10" s="372"/>
      <c r="K10" s="372"/>
      <c r="L10" s="949"/>
    </row>
    <row r="11" spans="1:13" ht="21" customHeight="1">
      <c r="B11" s="1718"/>
      <c r="C11" s="1718"/>
      <c r="D11" s="1719"/>
      <c r="E11" s="372"/>
      <c r="F11" s="372"/>
      <c r="G11" s="372"/>
      <c r="H11" s="372"/>
      <c r="I11" s="372"/>
      <c r="J11" s="372"/>
      <c r="K11" s="372"/>
      <c r="L11" s="949"/>
    </row>
    <row r="12" spans="1:13" ht="21" customHeight="1">
      <c r="A12" s="1577" t="s">
        <v>3632</v>
      </c>
      <c r="B12" s="1718"/>
      <c r="C12" s="1718"/>
      <c r="D12" s="1719"/>
      <c r="E12" s="372"/>
      <c r="F12" s="372"/>
      <c r="G12" s="372"/>
      <c r="H12" s="372"/>
      <c r="I12" s="372"/>
      <c r="J12" s="372"/>
      <c r="K12" s="372"/>
      <c r="L12" s="949"/>
      <c r="M12" s="325"/>
    </row>
    <row r="13" spans="1:13" ht="21" customHeight="1">
      <c r="A13" s="1577"/>
      <c r="B13" s="1718"/>
      <c r="C13" s="1718"/>
      <c r="D13" s="1719"/>
      <c r="E13" s="372"/>
      <c r="F13" s="372"/>
      <c r="G13" s="372"/>
      <c r="H13" s="372"/>
      <c r="I13" s="372"/>
      <c r="J13" s="372"/>
      <c r="K13" s="372"/>
      <c r="L13" s="949"/>
    </row>
    <row r="14" spans="1:13" ht="21" customHeight="1">
      <c r="A14" s="1577"/>
      <c r="B14" s="1718"/>
      <c r="C14" s="1718"/>
      <c r="D14" s="1719"/>
      <c r="E14" s="372"/>
      <c r="F14" s="372"/>
      <c r="G14" s="372"/>
      <c r="H14" s="372"/>
      <c r="I14" s="372"/>
      <c r="J14" s="372"/>
      <c r="K14" s="372"/>
      <c r="L14" s="949"/>
    </row>
    <row r="15" spans="1:13" ht="21" customHeight="1">
      <c r="A15" s="1577"/>
      <c r="B15" s="1718"/>
      <c r="C15" s="1718"/>
      <c r="D15" s="1719"/>
      <c r="E15" s="372"/>
      <c r="F15" s="372"/>
      <c r="G15" s="372"/>
      <c r="H15" s="372"/>
      <c r="I15" s="372"/>
      <c r="J15" s="372"/>
      <c r="K15" s="372"/>
      <c r="L15" s="949"/>
    </row>
    <row r="16" spans="1:13" ht="21" customHeight="1">
      <c r="A16" s="1577"/>
      <c r="B16" s="1718"/>
      <c r="C16" s="1718"/>
      <c r="D16" s="1719"/>
      <c r="E16" s="372"/>
      <c r="F16" s="372"/>
      <c r="G16" s="372"/>
      <c r="H16" s="372"/>
      <c r="I16" s="372"/>
      <c r="J16" s="372"/>
      <c r="K16" s="372"/>
      <c r="L16" s="949"/>
    </row>
    <row r="17" spans="1:13" ht="21" customHeight="1">
      <c r="A17" s="1577"/>
      <c r="B17" s="1718"/>
      <c r="C17" s="1718"/>
      <c r="D17" s="1719"/>
      <c r="E17" s="372"/>
      <c r="F17" s="372"/>
      <c r="G17" s="372"/>
      <c r="H17" s="372"/>
      <c r="I17" s="372"/>
      <c r="J17" s="372"/>
      <c r="K17" s="372"/>
      <c r="L17" s="949"/>
    </row>
    <row r="18" spans="1:13" ht="21" customHeight="1">
      <c r="A18" s="1577"/>
      <c r="B18" s="1718"/>
      <c r="C18" s="1718"/>
      <c r="D18" s="1719"/>
      <c r="E18" s="372"/>
      <c r="F18" s="372"/>
      <c r="G18" s="372"/>
      <c r="H18" s="372"/>
      <c r="I18" s="372"/>
      <c r="J18" s="372"/>
      <c r="K18" s="372"/>
      <c r="L18" s="949"/>
    </row>
    <row r="19" spans="1:13" ht="21" customHeight="1">
      <c r="A19" s="1577"/>
      <c r="B19" s="1718"/>
      <c r="C19" s="1718"/>
      <c r="D19" s="1719"/>
      <c r="E19" s="372"/>
      <c r="F19" s="372"/>
      <c r="G19" s="372"/>
      <c r="H19" s="372"/>
      <c r="I19" s="372"/>
      <c r="J19" s="372"/>
      <c r="K19" s="372"/>
      <c r="L19" s="949"/>
    </row>
    <row r="20" spans="1:13" ht="21" customHeight="1">
      <c r="A20" s="1577"/>
      <c r="B20" s="1718"/>
      <c r="C20" s="1718"/>
      <c r="D20" s="1719"/>
      <c r="E20" s="372"/>
      <c r="F20" s="372"/>
      <c r="G20" s="372"/>
      <c r="H20" s="372"/>
      <c r="I20" s="372"/>
      <c r="J20" s="372"/>
      <c r="K20" s="372"/>
      <c r="L20" s="949"/>
    </row>
    <row r="21" spans="1:13" ht="21" customHeight="1">
      <c r="A21" s="1577"/>
      <c r="B21" s="1718"/>
      <c r="C21" s="1718"/>
      <c r="D21" s="1719"/>
      <c r="E21" s="372"/>
      <c r="F21" s="372"/>
      <c r="G21" s="372"/>
      <c r="H21" s="372"/>
      <c r="I21" s="372"/>
      <c r="J21" s="372"/>
      <c r="K21" s="372"/>
      <c r="L21" s="949"/>
    </row>
    <row r="22" spans="1:13" ht="21" customHeight="1">
      <c r="A22" s="1577"/>
      <c r="B22" s="1718"/>
      <c r="C22" s="1718"/>
      <c r="D22" s="1719"/>
      <c r="E22" s="372"/>
      <c r="F22" s="372"/>
      <c r="G22" s="372"/>
      <c r="H22" s="372"/>
      <c r="I22" s="372"/>
      <c r="J22" s="372"/>
      <c r="K22" s="372"/>
      <c r="L22" s="949"/>
    </row>
    <row r="23" spans="1:13" ht="21" customHeight="1">
      <c r="A23" s="1577"/>
      <c r="B23" s="1718"/>
      <c r="C23" s="1718"/>
      <c r="D23" s="1719"/>
      <c r="E23" s="372"/>
      <c r="F23" s="372"/>
      <c r="G23" s="372"/>
      <c r="H23" s="372"/>
      <c r="I23" s="372"/>
      <c r="J23" s="372"/>
      <c r="K23" s="372"/>
      <c r="L23" s="949"/>
    </row>
    <row r="24" spans="1:13" ht="21" customHeight="1">
      <c r="A24" s="1577"/>
      <c r="B24" s="1718"/>
      <c r="C24" s="1718"/>
      <c r="D24" s="1719"/>
      <c r="E24" s="372"/>
      <c r="F24" s="372"/>
      <c r="G24" s="372"/>
      <c r="H24" s="372"/>
      <c r="I24" s="372"/>
      <c r="J24" s="372"/>
      <c r="K24" s="372"/>
      <c r="L24" s="949"/>
      <c r="M24" s="325"/>
    </row>
    <row r="25" spans="1:13" ht="21" customHeight="1">
      <c r="B25" s="1718"/>
      <c r="C25" s="1718"/>
      <c r="D25" s="1719"/>
      <c r="E25" s="372"/>
      <c r="F25" s="372"/>
      <c r="G25" s="372"/>
      <c r="H25" s="372"/>
      <c r="I25" s="372"/>
      <c r="J25" s="372"/>
      <c r="K25" s="372"/>
      <c r="L25" s="949"/>
    </row>
    <row r="26" spans="1:13" ht="21" customHeight="1">
      <c r="B26" s="1718"/>
      <c r="C26" s="1718"/>
      <c r="D26" s="1719"/>
      <c r="E26" s="372"/>
      <c r="F26" s="372"/>
      <c r="G26" s="372"/>
      <c r="H26" s="372"/>
      <c r="I26" s="372"/>
      <c r="J26" s="372"/>
      <c r="K26" s="372"/>
      <c r="L26" s="949"/>
    </row>
    <row r="27" spans="1:13" ht="21" customHeight="1" thickBot="1">
      <c r="B27" s="1718"/>
      <c r="C27" s="1718"/>
      <c r="D27" s="1719"/>
      <c r="E27" s="637"/>
      <c r="F27" s="637"/>
      <c r="G27" s="637"/>
      <c r="H27" s="637"/>
      <c r="I27" s="637"/>
      <c r="J27" s="637"/>
      <c r="K27" s="637"/>
      <c r="L27" s="1013"/>
    </row>
    <row r="28" spans="1:13" ht="21" customHeight="1" thickTop="1" thickBot="1">
      <c r="B28" s="148"/>
      <c r="C28" s="27"/>
      <c r="D28" s="795" t="s">
        <v>3545</v>
      </c>
      <c r="E28" s="219">
        <f t="shared" ref="E28:K28" si="0">SUM(E9:E27)</f>
        <v>1000977.34</v>
      </c>
      <c r="F28" s="219">
        <f>SUM(F9:F27)</f>
        <v>1180232.79</v>
      </c>
      <c r="G28" s="219">
        <f t="shared" si="0"/>
        <v>1703000</v>
      </c>
      <c r="H28" s="219">
        <f t="shared" si="0"/>
        <v>490223.16000000003</v>
      </c>
      <c r="I28" s="219">
        <f t="shared" si="0"/>
        <v>2509145.08</v>
      </c>
      <c r="J28" s="219">
        <f t="shared" si="0"/>
        <v>0</v>
      </c>
      <c r="K28" s="219">
        <f t="shared" si="0"/>
        <v>1369043.0199999998</v>
      </c>
      <c r="L28" s="227">
        <f>SUM(L9:L27)</f>
        <v>1720608.0699999998</v>
      </c>
    </row>
    <row r="29" spans="1:13" ht="13.5" customHeight="1" thickTop="1">
      <c r="B29" s="154"/>
      <c r="C29" s="44" t="s">
        <v>663</v>
      </c>
      <c r="D29" s="152"/>
      <c r="E29" s="286"/>
      <c r="F29" s="286"/>
      <c r="G29" s="286"/>
      <c r="H29" s="286"/>
      <c r="I29" s="286"/>
      <c r="J29" s="286"/>
      <c r="K29" s="755"/>
      <c r="L29" s="755"/>
    </row>
    <row r="30" spans="1:13">
      <c r="K30" s="325"/>
      <c r="L30" s="287"/>
    </row>
    <row r="33" spans="5:12">
      <c r="E33" s="325"/>
      <c r="F33" s="325"/>
    </row>
    <row r="34" spans="5:12">
      <c r="K34" s="325"/>
      <c r="L34" s="325"/>
    </row>
    <row r="35" spans="5:12">
      <c r="L35" s="325"/>
    </row>
    <row r="36" spans="5:12">
      <c r="L36" s="325"/>
    </row>
    <row r="38" spans="5:12">
      <c r="L38"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26">
    <mergeCell ref="B7:D7"/>
    <mergeCell ref="A12:A24"/>
    <mergeCell ref="B2:L2"/>
    <mergeCell ref="B3:L3"/>
    <mergeCell ref="E4:F6"/>
    <mergeCell ref="K4:L6"/>
    <mergeCell ref="B5:D5"/>
    <mergeCell ref="B6:D6"/>
    <mergeCell ref="B10:D10"/>
    <mergeCell ref="B11:D11"/>
    <mergeCell ref="B12:D12"/>
    <mergeCell ref="B13:D13"/>
    <mergeCell ref="B14:D14"/>
    <mergeCell ref="B15:D15"/>
    <mergeCell ref="B16:D16"/>
    <mergeCell ref="B17:D17"/>
    <mergeCell ref="B18:D18"/>
    <mergeCell ref="B19:D19"/>
    <mergeCell ref="B20:D20"/>
    <mergeCell ref="B21:D21"/>
    <mergeCell ref="B22:D22"/>
    <mergeCell ref="B27:D27"/>
    <mergeCell ref="B23:D23"/>
    <mergeCell ref="B24:D24"/>
    <mergeCell ref="B25:D25"/>
    <mergeCell ref="B26:D26"/>
  </mergeCells>
  <pageMargins left="0.25" right="0.25" top="0.5" bottom="0.5" header="0.25" footer="0.25"/>
  <pageSetup paperSize="5" orientation="landscape" r:id="rId5"/>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7"/>
  <dimension ref="A1:M38"/>
  <sheetViews>
    <sheetView zoomScaleNormal="100" workbookViewId="0">
      <selection activeCell="B1" sqref="B1"/>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5.33203125" style="322" customWidth="1"/>
    <col min="14" max="16384" width="9.109375" style="322"/>
  </cols>
  <sheetData>
    <row r="1" spans="1:13" ht="8.25" customHeight="1"/>
    <row r="2" spans="1:13" ht="20.399999999999999">
      <c r="B2" s="1508" t="s">
        <v>665</v>
      </c>
      <c r="C2" s="1508"/>
      <c r="D2" s="1508"/>
      <c r="E2" s="1508"/>
      <c r="F2" s="1508"/>
      <c r="G2" s="1508"/>
      <c r="H2" s="1508"/>
      <c r="I2" s="1508"/>
      <c r="J2" s="1508"/>
      <c r="K2" s="1508"/>
      <c r="L2" s="1508"/>
    </row>
    <row r="3" spans="1:13" ht="9.75" customHeight="1" thickBot="1">
      <c r="B3" s="1508"/>
      <c r="C3" s="1508"/>
      <c r="D3" s="1508"/>
      <c r="E3" s="1508"/>
      <c r="F3" s="1508"/>
      <c r="G3" s="1508"/>
      <c r="H3" s="1508"/>
      <c r="I3" s="1508"/>
      <c r="J3" s="1508"/>
      <c r="K3" s="1508"/>
      <c r="L3" s="1508"/>
    </row>
    <row r="4" spans="1:13" ht="13.5" customHeight="1" thickTop="1">
      <c r="B4" s="11"/>
      <c r="C4" s="11"/>
      <c r="D4" s="11"/>
      <c r="E4" s="1737" t="str">
        <f>'35- Cap Fund Imprv Auth'!E4:F6</f>
        <v>Balance - January 1, 2019</v>
      </c>
      <c r="F4" s="1619"/>
      <c r="G4" s="12"/>
      <c r="H4" s="12"/>
      <c r="I4" s="12"/>
      <c r="J4" s="12"/>
      <c r="K4" s="1737" t="str">
        <f>'35- Cap Fund Imprv Auth'!K4:L6</f>
        <v>Balance - December 31, 2019</v>
      </c>
      <c r="L4" s="1742"/>
    </row>
    <row r="5" spans="1:13" ht="13.5" customHeight="1">
      <c r="B5" s="1546" t="s">
        <v>656</v>
      </c>
      <c r="C5" s="1546"/>
      <c r="D5" s="1595"/>
      <c r="E5" s="1738"/>
      <c r="F5" s="1739"/>
      <c r="G5" s="758"/>
      <c r="H5" s="758"/>
      <c r="I5" s="758"/>
      <c r="J5" s="758"/>
      <c r="K5" s="1738"/>
      <c r="L5" s="1743"/>
    </row>
    <row r="6" spans="1:13" ht="13.5" customHeight="1">
      <c r="B6" s="1546" t="s">
        <v>657</v>
      </c>
      <c r="C6" s="1546"/>
      <c r="D6" s="1595"/>
      <c r="E6" s="1740"/>
      <c r="F6" s="1741"/>
      <c r="G6" s="758">
        <f>'KEY INPUTS'!D34</f>
        <v>2019</v>
      </c>
      <c r="H6" s="921" t="s">
        <v>280</v>
      </c>
      <c r="I6" s="758" t="s">
        <v>302</v>
      </c>
      <c r="J6" s="758" t="s">
        <v>661</v>
      </c>
      <c r="K6" s="1740"/>
      <c r="L6" s="1744"/>
    </row>
    <row r="7" spans="1:13" ht="13.5" customHeight="1">
      <c r="B7" s="1546" t="s">
        <v>658</v>
      </c>
      <c r="C7" s="1546"/>
      <c r="D7" s="1595"/>
      <c r="E7" s="282" t="s">
        <v>659</v>
      </c>
      <c r="F7" s="282" t="s">
        <v>660</v>
      </c>
      <c r="G7" s="282" t="s">
        <v>661</v>
      </c>
      <c r="H7" s="282"/>
      <c r="I7" s="282"/>
      <c r="J7" s="282" t="s">
        <v>558</v>
      </c>
      <c r="K7" s="282" t="s">
        <v>659</v>
      </c>
      <c r="L7" s="21" t="s">
        <v>660</v>
      </c>
    </row>
    <row r="8" spans="1:13" ht="13.5" customHeight="1" thickBot="1">
      <c r="B8" s="10"/>
      <c r="C8" s="10"/>
      <c r="D8" s="10"/>
      <c r="E8" s="14"/>
      <c r="F8" s="14"/>
      <c r="G8" s="16"/>
      <c r="H8" s="16"/>
      <c r="I8" s="14"/>
      <c r="J8" s="14"/>
      <c r="K8" s="16"/>
      <c r="L8" s="156"/>
    </row>
    <row r="9" spans="1:13" ht="21" customHeight="1" thickTop="1">
      <c r="B9" s="229" t="s">
        <v>3546</v>
      </c>
      <c r="C9" s="283"/>
      <c r="D9" s="23"/>
      <c r="E9" s="224">
        <f>+'35.7- Cap Fund Imprv Auth'!E28</f>
        <v>1000977.34</v>
      </c>
      <c r="F9" s="224">
        <f>+'35.7- Cap Fund Imprv Auth'!F28</f>
        <v>1180232.79</v>
      </c>
      <c r="G9" s="224">
        <f>+'35.7- Cap Fund Imprv Auth'!G28</f>
        <v>1703000</v>
      </c>
      <c r="H9" s="224">
        <f>+'35.7- Cap Fund Imprv Auth'!H28</f>
        <v>490223.16000000003</v>
      </c>
      <c r="I9" s="224">
        <f>+'35.7- Cap Fund Imprv Auth'!I28</f>
        <v>2509145.08</v>
      </c>
      <c r="J9" s="224">
        <f>+'35.7- Cap Fund Imprv Auth'!J28</f>
        <v>0</v>
      </c>
      <c r="K9" s="224">
        <f>+'35.7- Cap Fund Imprv Auth'!K28</f>
        <v>1369043.0199999998</v>
      </c>
      <c r="L9" s="225">
        <f>+'35.7- Cap Fund Imprv Auth'!L28</f>
        <v>1720608.0699999998</v>
      </c>
    </row>
    <row r="10" spans="1:13" ht="21" customHeight="1">
      <c r="B10" s="1718"/>
      <c r="C10" s="1718"/>
      <c r="D10" s="1719"/>
      <c r="E10" s="372"/>
      <c r="F10" s="372"/>
      <c r="G10" s="372"/>
      <c r="H10" s="372"/>
      <c r="I10" s="372"/>
      <c r="J10" s="372"/>
      <c r="K10" s="372"/>
      <c r="L10" s="949"/>
    </row>
    <row r="11" spans="1:13" ht="21" customHeight="1">
      <c r="B11" s="1718"/>
      <c r="C11" s="1718"/>
      <c r="D11" s="1719"/>
      <c r="E11" s="372"/>
      <c r="F11" s="372"/>
      <c r="G11" s="372"/>
      <c r="H11" s="372"/>
      <c r="I11" s="372"/>
      <c r="J11" s="372"/>
      <c r="K11" s="372"/>
      <c r="L11" s="949"/>
    </row>
    <row r="12" spans="1:13" ht="21" customHeight="1">
      <c r="A12" s="1577" t="s">
        <v>3633</v>
      </c>
      <c r="B12" s="1718"/>
      <c r="C12" s="1718"/>
      <c r="D12" s="1719"/>
      <c r="E12" s="372"/>
      <c r="F12" s="372"/>
      <c r="G12" s="372"/>
      <c r="H12" s="372"/>
      <c r="I12" s="372"/>
      <c r="J12" s="372"/>
      <c r="K12" s="372"/>
      <c r="L12" s="949"/>
      <c r="M12" s="325"/>
    </row>
    <row r="13" spans="1:13" ht="21" customHeight="1">
      <c r="A13" s="1577"/>
      <c r="B13" s="1718"/>
      <c r="C13" s="1718"/>
      <c r="D13" s="1719"/>
      <c r="E13" s="372"/>
      <c r="F13" s="372"/>
      <c r="G13" s="372"/>
      <c r="H13" s="372"/>
      <c r="I13" s="372"/>
      <c r="J13" s="372"/>
      <c r="K13" s="372"/>
      <c r="L13" s="949"/>
    </row>
    <row r="14" spans="1:13" ht="21" customHeight="1">
      <c r="A14" s="1577"/>
      <c r="B14" s="1718"/>
      <c r="C14" s="1718"/>
      <c r="D14" s="1719"/>
      <c r="E14" s="372"/>
      <c r="F14" s="372"/>
      <c r="G14" s="372"/>
      <c r="H14" s="372"/>
      <c r="I14" s="372"/>
      <c r="J14" s="372"/>
      <c r="K14" s="372"/>
      <c r="L14" s="949"/>
    </row>
    <row r="15" spans="1:13" ht="21" customHeight="1">
      <c r="A15" s="1577"/>
      <c r="B15" s="1718"/>
      <c r="C15" s="1718"/>
      <c r="D15" s="1719"/>
      <c r="E15" s="372"/>
      <c r="F15" s="372"/>
      <c r="G15" s="372"/>
      <c r="H15" s="372"/>
      <c r="I15" s="372"/>
      <c r="J15" s="372"/>
      <c r="K15" s="372"/>
      <c r="L15" s="949"/>
    </row>
    <row r="16" spans="1:13" ht="21" customHeight="1">
      <c r="A16" s="1577"/>
      <c r="B16" s="1718"/>
      <c r="C16" s="1718"/>
      <c r="D16" s="1719"/>
      <c r="E16" s="372"/>
      <c r="F16" s="372"/>
      <c r="G16" s="372"/>
      <c r="H16" s="372"/>
      <c r="I16" s="372"/>
      <c r="J16" s="372"/>
      <c r="K16" s="372"/>
      <c r="L16" s="949"/>
    </row>
    <row r="17" spans="1:13" ht="21" customHeight="1">
      <c r="A17" s="1577"/>
      <c r="B17" s="1718"/>
      <c r="C17" s="1718"/>
      <c r="D17" s="1719"/>
      <c r="E17" s="372"/>
      <c r="F17" s="372"/>
      <c r="G17" s="372"/>
      <c r="H17" s="372"/>
      <c r="I17" s="372"/>
      <c r="J17" s="372"/>
      <c r="K17" s="372"/>
      <c r="L17" s="949"/>
    </row>
    <row r="18" spans="1:13" ht="21" customHeight="1">
      <c r="A18" s="1577"/>
      <c r="B18" s="1718"/>
      <c r="C18" s="1718"/>
      <c r="D18" s="1719"/>
      <c r="E18" s="372"/>
      <c r="F18" s="372"/>
      <c r="G18" s="372"/>
      <c r="H18" s="372"/>
      <c r="I18" s="372"/>
      <c r="J18" s="372"/>
      <c r="K18" s="372"/>
      <c r="L18" s="949"/>
    </row>
    <row r="19" spans="1:13" ht="21" customHeight="1">
      <c r="A19" s="1577"/>
      <c r="B19" s="1718"/>
      <c r="C19" s="1718"/>
      <c r="D19" s="1719"/>
      <c r="E19" s="372"/>
      <c r="F19" s="372"/>
      <c r="G19" s="372"/>
      <c r="H19" s="372"/>
      <c r="I19" s="372"/>
      <c r="J19" s="372"/>
      <c r="K19" s="372"/>
      <c r="L19" s="949"/>
    </row>
    <row r="20" spans="1:13" ht="21" customHeight="1">
      <c r="A20" s="1577"/>
      <c r="B20" s="1718"/>
      <c r="C20" s="1718"/>
      <c r="D20" s="1719"/>
      <c r="E20" s="372"/>
      <c r="F20" s="372"/>
      <c r="G20" s="372"/>
      <c r="H20" s="372"/>
      <c r="I20" s="372"/>
      <c r="J20" s="372"/>
      <c r="K20" s="372"/>
      <c r="L20" s="949"/>
    </row>
    <row r="21" spans="1:13" ht="21" customHeight="1">
      <c r="A21" s="1577"/>
      <c r="B21" s="1718"/>
      <c r="C21" s="1718"/>
      <c r="D21" s="1719"/>
      <c r="E21" s="372"/>
      <c r="F21" s="372"/>
      <c r="G21" s="372"/>
      <c r="H21" s="372"/>
      <c r="I21" s="372"/>
      <c r="J21" s="372"/>
      <c r="K21" s="372"/>
      <c r="L21" s="949"/>
    </row>
    <row r="22" spans="1:13" ht="21" customHeight="1">
      <c r="A22" s="1577"/>
      <c r="B22" s="1718"/>
      <c r="C22" s="1718"/>
      <c r="D22" s="1719"/>
      <c r="E22" s="372"/>
      <c r="F22" s="372"/>
      <c r="G22" s="372"/>
      <c r="H22" s="372"/>
      <c r="I22" s="372"/>
      <c r="J22" s="372"/>
      <c r="K22" s="372"/>
      <c r="L22" s="949"/>
    </row>
    <row r="23" spans="1:13" ht="21" customHeight="1">
      <c r="A23" s="1577"/>
      <c r="B23" s="1718"/>
      <c r="C23" s="1718"/>
      <c r="D23" s="1719"/>
      <c r="E23" s="372"/>
      <c r="F23" s="372"/>
      <c r="G23" s="372"/>
      <c r="H23" s="372"/>
      <c r="I23" s="372"/>
      <c r="J23" s="372"/>
      <c r="K23" s="372"/>
      <c r="L23" s="949"/>
    </row>
    <row r="24" spans="1:13" ht="21" customHeight="1">
      <c r="A24" s="1577"/>
      <c r="B24" s="1718"/>
      <c r="C24" s="1718"/>
      <c r="D24" s="1719"/>
      <c r="E24" s="372"/>
      <c r="F24" s="372"/>
      <c r="G24" s="372"/>
      <c r="H24" s="372"/>
      <c r="I24" s="372"/>
      <c r="J24" s="372"/>
      <c r="K24" s="372"/>
      <c r="L24" s="949"/>
      <c r="M24" s="325"/>
    </row>
    <row r="25" spans="1:13" ht="21" customHeight="1">
      <c r="B25" s="1718"/>
      <c r="C25" s="1718"/>
      <c r="D25" s="1719"/>
      <c r="E25" s="372"/>
      <c r="F25" s="372"/>
      <c r="G25" s="372"/>
      <c r="H25" s="372"/>
      <c r="I25" s="372"/>
      <c r="J25" s="372"/>
      <c r="K25" s="372"/>
      <c r="L25" s="949"/>
    </row>
    <row r="26" spans="1:13" ht="21" customHeight="1">
      <c r="B26" s="1718"/>
      <c r="C26" s="1718"/>
      <c r="D26" s="1719"/>
      <c r="E26" s="372"/>
      <c r="F26" s="372"/>
      <c r="G26" s="372"/>
      <c r="H26" s="372"/>
      <c r="I26" s="372"/>
      <c r="J26" s="372"/>
      <c r="K26" s="372"/>
      <c r="L26" s="949"/>
    </row>
    <row r="27" spans="1:13" ht="21" customHeight="1" thickBot="1">
      <c r="B27" s="1718"/>
      <c r="C27" s="1718"/>
      <c r="D27" s="1719"/>
      <c r="E27" s="637"/>
      <c r="F27" s="637"/>
      <c r="G27" s="637"/>
      <c r="H27" s="637"/>
      <c r="I27" s="637"/>
      <c r="J27" s="637"/>
      <c r="K27" s="637"/>
      <c r="L27" s="1013"/>
    </row>
    <row r="28" spans="1:13" ht="21" customHeight="1" thickTop="1" thickBot="1">
      <c r="B28" s="148"/>
      <c r="C28" s="27"/>
      <c r="D28" s="795" t="s">
        <v>3545</v>
      </c>
      <c r="E28" s="219">
        <f t="shared" ref="E28:K28" si="0">SUM(E9:E27)</f>
        <v>1000977.34</v>
      </c>
      <c r="F28" s="219">
        <f>SUM(F9:F27)</f>
        <v>1180232.79</v>
      </c>
      <c r="G28" s="219">
        <f t="shared" si="0"/>
        <v>1703000</v>
      </c>
      <c r="H28" s="219">
        <f t="shared" si="0"/>
        <v>490223.16000000003</v>
      </c>
      <c r="I28" s="219">
        <f t="shared" si="0"/>
        <v>2509145.08</v>
      </c>
      <c r="J28" s="219">
        <f t="shared" si="0"/>
        <v>0</v>
      </c>
      <c r="K28" s="219">
        <f t="shared" si="0"/>
        <v>1369043.0199999998</v>
      </c>
      <c r="L28" s="227">
        <f>SUM(L9:L27)</f>
        <v>1720608.0699999998</v>
      </c>
    </row>
    <row r="29" spans="1:13" ht="13.5" customHeight="1" thickTop="1">
      <c r="B29" s="154"/>
      <c r="C29" s="44" t="s">
        <v>663</v>
      </c>
      <c r="D29" s="152"/>
      <c r="E29" s="286"/>
      <c r="F29" s="286"/>
      <c r="G29" s="286"/>
      <c r="H29" s="286"/>
      <c r="I29" s="286"/>
      <c r="J29" s="286"/>
      <c r="K29" s="755"/>
      <c r="L29" s="755"/>
    </row>
    <row r="30" spans="1:13">
      <c r="K30" s="325"/>
      <c r="L30" s="287"/>
    </row>
    <row r="33" spans="5:12">
      <c r="E33" s="325"/>
      <c r="F33" s="325"/>
    </row>
    <row r="34" spans="5:12">
      <c r="K34" s="325"/>
      <c r="L34" s="325"/>
    </row>
    <row r="35" spans="5:12">
      <c r="L35" s="325"/>
    </row>
    <row r="36" spans="5:12">
      <c r="L36" s="325"/>
    </row>
    <row r="38" spans="5:12">
      <c r="L38"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26">
    <mergeCell ref="B7:D7"/>
    <mergeCell ref="A12:A24"/>
    <mergeCell ref="B2:L2"/>
    <mergeCell ref="B3:L3"/>
    <mergeCell ref="E4:F6"/>
    <mergeCell ref="K4:L6"/>
    <mergeCell ref="B5:D5"/>
    <mergeCell ref="B6:D6"/>
    <mergeCell ref="B10:D10"/>
    <mergeCell ref="B11:D11"/>
    <mergeCell ref="B12:D12"/>
    <mergeCell ref="B13:D13"/>
    <mergeCell ref="B14:D14"/>
    <mergeCell ref="B15:D15"/>
    <mergeCell ref="B16:D16"/>
    <mergeCell ref="B17:D17"/>
    <mergeCell ref="B18:D18"/>
    <mergeCell ref="B19:D19"/>
    <mergeCell ref="B20:D20"/>
    <mergeCell ref="B21:D21"/>
    <mergeCell ref="B22:D22"/>
    <mergeCell ref="B27:D27"/>
    <mergeCell ref="B23:D23"/>
    <mergeCell ref="B24:D24"/>
    <mergeCell ref="B25:D25"/>
    <mergeCell ref="B26:D26"/>
  </mergeCells>
  <pageMargins left="0.25" right="0.25" top="0.5" bottom="0.5" header="0.25" footer="0.25"/>
  <pageSetup paperSize="5" orientation="landscape" r:id="rId5"/>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8"/>
  <dimension ref="A1:M38"/>
  <sheetViews>
    <sheetView zoomScaleNormal="100" workbookViewId="0">
      <selection activeCell="B1" sqref="B1"/>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5.33203125" style="322" customWidth="1"/>
    <col min="14" max="16384" width="9.109375" style="322"/>
  </cols>
  <sheetData>
    <row r="1" spans="1:13" ht="8.25" customHeight="1"/>
    <row r="2" spans="1:13" ht="20.399999999999999">
      <c r="B2" s="1508" t="s">
        <v>665</v>
      </c>
      <c r="C2" s="1508"/>
      <c r="D2" s="1508"/>
      <c r="E2" s="1508"/>
      <c r="F2" s="1508"/>
      <c r="G2" s="1508"/>
      <c r="H2" s="1508"/>
      <c r="I2" s="1508"/>
      <c r="J2" s="1508"/>
      <c r="K2" s="1508"/>
      <c r="L2" s="1508"/>
    </row>
    <row r="3" spans="1:13" ht="9.75" customHeight="1" thickBot="1">
      <c r="B3" s="1508"/>
      <c r="C3" s="1508"/>
      <c r="D3" s="1508"/>
      <c r="E3" s="1508"/>
      <c r="F3" s="1508"/>
      <c r="G3" s="1508"/>
      <c r="H3" s="1508"/>
      <c r="I3" s="1508"/>
      <c r="J3" s="1508"/>
      <c r="K3" s="1508"/>
      <c r="L3" s="1508"/>
    </row>
    <row r="4" spans="1:13" ht="13.5" customHeight="1" thickTop="1">
      <c r="B4" s="11"/>
      <c r="C4" s="11"/>
      <c r="D4" s="11"/>
      <c r="E4" s="1737" t="str">
        <f>'35- Cap Fund Imprv Auth'!E4:F6</f>
        <v>Balance - January 1, 2019</v>
      </c>
      <c r="F4" s="1619"/>
      <c r="G4" s="12"/>
      <c r="H4" s="12"/>
      <c r="I4" s="12"/>
      <c r="J4" s="12"/>
      <c r="K4" s="1737" t="str">
        <f>'35- Cap Fund Imprv Auth'!K4:L6</f>
        <v>Balance - December 31, 2019</v>
      </c>
      <c r="L4" s="1742"/>
    </row>
    <row r="5" spans="1:13" ht="13.5" customHeight="1">
      <c r="B5" s="1546" t="s">
        <v>656</v>
      </c>
      <c r="C5" s="1546"/>
      <c r="D5" s="1595"/>
      <c r="E5" s="1738"/>
      <c r="F5" s="1739"/>
      <c r="G5" s="758"/>
      <c r="H5" s="758"/>
      <c r="I5" s="758"/>
      <c r="J5" s="758"/>
      <c r="K5" s="1738"/>
      <c r="L5" s="1743"/>
    </row>
    <row r="6" spans="1:13" ht="13.5" customHeight="1">
      <c r="B6" s="1546" t="s">
        <v>657</v>
      </c>
      <c r="C6" s="1546"/>
      <c r="D6" s="1595"/>
      <c r="E6" s="1740"/>
      <c r="F6" s="1741"/>
      <c r="G6" s="758">
        <f>'KEY INPUTS'!D34</f>
        <v>2019</v>
      </c>
      <c r="H6" s="921" t="s">
        <v>280</v>
      </c>
      <c r="I6" s="758" t="s">
        <v>302</v>
      </c>
      <c r="J6" s="758" t="s">
        <v>661</v>
      </c>
      <c r="K6" s="1740"/>
      <c r="L6" s="1744"/>
    </row>
    <row r="7" spans="1:13" ht="13.5" customHeight="1">
      <c r="B7" s="1546" t="s">
        <v>658</v>
      </c>
      <c r="C7" s="1546"/>
      <c r="D7" s="1595"/>
      <c r="E7" s="282" t="s">
        <v>659</v>
      </c>
      <c r="F7" s="282" t="s">
        <v>660</v>
      </c>
      <c r="G7" s="282" t="s">
        <v>661</v>
      </c>
      <c r="H7" s="282"/>
      <c r="I7" s="282"/>
      <c r="J7" s="282" t="s">
        <v>558</v>
      </c>
      <c r="K7" s="282" t="s">
        <v>659</v>
      </c>
      <c r="L7" s="21" t="s">
        <v>660</v>
      </c>
    </row>
    <row r="8" spans="1:13" ht="13.5" customHeight="1" thickBot="1">
      <c r="B8" s="10"/>
      <c r="C8" s="10"/>
      <c r="D8" s="10"/>
      <c r="E8" s="14"/>
      <c r="F8" s="14"/>
      <c r="G8" s="16"/>
      <c r="H8" s="16"/>
      <c r="I8" s="14"/>
      <c r="J8" s="14"/>
      <c r="K8" s="16"/>
      <c r="L8" s="156"/>
    </row>
    <row r="9" spans="1:13" ht="21" customHeight="1" thickTop="1">
      <c r="B9" s="229" t="s">
        <v>3546</v>
      </c>
      <c r="C9" s="283"/>
      <c r="D9" s="23"/>
      <c r="E9" s="224">
        <f>+'35.8- Cap Fund Imprv Auth'!E28</f>
        <v>1000977.34</v>
      </c>
      <c r="F9" s="224">
        <f>+'35.8- Cap Fund Imprv Auth'!F28</f>
        <v>1180232.79</v>
      </c>
      <c r="G9" s="224">
        <f>+'35.8- Cap Fund Imprv Auth'!G28</f>
        <v>1703000</v>
      </c>
      <c r="H9" s="224">
        <f>+'35.8- Cap Fund Imprv Auth'!H28</f>
        <v>490223.16000000003</v>
      </c>
      <c r="I9" s="224">
        <f>+'35.8- Cap Fund Imprv Auth'!I28</f>
        <v>2509145.08</v>
      </c>
      <c r="J9" s="224">
        <f>+'35.8- Cap Fund Imprv Auth'!J28</f>
        <v>0</v>
      </c>
      <c r="K9" s="224">
        <f>+'35.8- Cap Fund Imprv Auth'!K28</f>
        <v>1369043.0199999998</v>
      </c>
      <c r="L9" s="225">
        <f>+'35.8- Cap Fund Imprv Auth'!L28</f>
        <v>1720608.0699999998</v>
      </c>
    </row>
    <row r="10" spans="1:13" ht="21" customHeight="1">
      <c r="B10" s="1718"/>
      <c r="C10" s="1718"/>
      <c r="D10" s="1719"/>
      <c r="E10" s="372"/>
      <c r="F10" s="372"/>
      <c r="G10" s="372"/>
      <c r="H10" s="372"/>
      <c r="I10" s="372"/>
      <c r="J10" s="372"/>
      <c r="K10" s="372"/>
      <c r="L10" s="949"/>
    </row>
    <row r="11" spans="1:13" ht="21" customHeight="1">
      <c r="B11" s="1718"/>
      <c r="C11" s="1718"/>
      <c r="D11" s="1719"/>
      <c r="E11" s="372"/>
      <c r="F11" s="372"/>
      <c r="G11" s="372"/>
      <c r="H11" s="372"/>
      <c r="I11" s="372"/>
      <c r="J11" s="372"/>
      <c r="K11" s="372"/>
      <c r="L11" s="949"/>
    </row>
    <row r="12" spans="1:13" ht="21" customHeight="1">
      <c r="A12" s="1577" t="s">
        <v>3634</v>
      </c>
      <c r="B12" s="1718"/>
      <c r="C12" s="1718"/>
      <c r="D12" s="1719"/>
      <c r="E12" s="372"/>
      <c r="F12" s="372"/>
      <c r="G12" s="372"/>
      <c r="H12" s="372"/>
      <c r="I12" s="372"/>
      <c r="J12" s="372"/>
      <c r="K12" s="372"/>
      <c r="L12" s="949"/>
      <c r="M12" s="325"/>
    </row>
    <row r="13" spans="1:13" ht="21" customHeight="1">
      <c r="A13" s="1577"/>
      <c r="B13" s="1718"/>
      <c r="C13" s="1718"/>
      <c r="D13" s="1719"/>
      <c r="E13" s="372"/>
      <c r="F13" s="372"/>
      <c r="G13" s="372"/>
      <c r="H13" s="372"/>
      <c r="I13" s="372"/>
      <c r="J13" s="372"/>
      <c r="K13" s="372"/>
      <c r="L13" s="949"/>
    </row>
    <row r="14" spans="1:13" ht="21" customHeight="1">
      <c r="A14" s="1577"/>
      <c r="B14" s="1718"/>
      <c r="C14" s="1718"/>
      <c r="D14" s="1719"/>
      <c r="E14" s="372"/>
      <c r="F14" s="372"/>
      <c r="G14" s="372"/>
      <c r="H14" s="372"/>
      <c r="I14" s="372"/>
      <c r="J14" s="372"/>
      <c r="K14" s="372"/>
      <c r="L14" s="949"/>
    </row>
    <row r="15" spans="1:13" ht="21" customHeight="1">
      <c r="A15" s="1577"/>
      <c r="B15" s="1718"/>
      <c r="C15" s="1718"/>
      <c r="D15" s="1719"/>
      <c r="E15" s="372"/>
      <c r="F15" s="372"/>
      <c r="G15" s="372"/>
      <c r="H15" s="372"/>
      <c r="I15" s="372"/>
      <c r="J15" s="372"/>
      <c r="K15" s="372"/>
      <c r="L15" s="949"/>
    </row>
    <row r="16" spans="1:13" ht="21" customHeight="1">
      <c r="A16" s="1577"/>
      <c r="B16" s="1718"/>
      <c r="C16" s="1718"/>
      <c r="D16" s="1719"/>
      <c r="E16" s="372"/>
      <c r="F16" s="372"/>
      <c r="G16" s="372"/>
      <c r="H16" s="372"/>
      <c r="I16" s="372"/>
      <c r="J16" s="372"/>
      <c r="K16" s="372"/>
      <c r="L16" s="949"/>
    </row>
    <row r="17" spans="1:13" ht="21" customHeight="1">
      <c r="A17" s="1577"/>
      <c r="B17" s="1718"/>
      <c r="C17" s="1718"/>
      <c r="D17" s="1719"/>
      <c r="E17" s="372"/>
      <c r="F17" s="372"/>
      <c r="G17" s="372"/>
      <c r="H17" s="372"/>
      <c r="I17" s="372"/>
      <c r="J17" s="372"/>
      <c r="K17" s="372"/>
      <c r="L17" s="949"/>
    </row>
    <row r="18" spans="1:13" ht="21" customHeight="1">
      <c r="A18" s="1577"/>
      <c r="B18" s="1718"/>
      <c r="C18" s="1718"/>
      <c r="D18" s="1719"/>
      <c r="E18" s="372"/>
      <c r="F18" s="372"/>
      <c r="G18" s="372"/>
      <c r="H18" s="372"/>
      <c r="I18" s="372"/>
      <c r="J18" s="372"/>
      <c r="K18" s="372"/>
      <c r="L18" s="949"/>
    </row>
    <row r="19" spans="1:13" ht="21" customHeight="1">
      <c r="A19" s="1577"/>
      <c r="B19" s="1718"/>
      <c r="C19" s="1718"/>
      <c r="D19" s="1719"/>
      <c r="E19" s="372"/>
      <c r="F19" s="372"/>
      <c r="G19" s="372"/>
      <c r="H19" s="372"/>
      <c r="I19" s="372"/>
      <c r="J19" s="372"/>
      <c r="K19" s="372"/>
      <c r="L19" s="949"/>
    </row>
    <row r="20" spans="1:13" ht="21" customHeight="1">
      <c r="A20" s="1577"/>
      <c r="B20" s="1718"/>
      <c r="C20" s="1718"/>
      <c r="D20" s="1719"/>
      <c r="E20" s="372"/>
      <c r="F20" s="372"/>
      <c r="G20" s="372"/>
      <c r="H20" s="372"/>
      <c r="I20" s="372"/>
      <c r="J20" s="372"/>
      <c r="K20" s="372"/>
      <c r="L20" s="949"/>
    </row>
    <row r="21" spans="1:13" ht="21" customHeight="1">
      <c r="A21" s="1577"/>
      <c r="B21" s="1718"/>
      <c r="C21" s="1718"/>
      <c r="D21" s="1719"/>
      <c r="E21" s="372"/>
      <c r="F21" s="372"/>
      <c r="G21" s="372"/>
      <c r="H21" s="372"/>
      <c r="I21" s="372"/>
      <c r="J21" s="372"/>
      <c r="K21" s="372"/>
      <c r="L21" s="949"/>
    </row>
    <row r="22" spans="1:13" ht="21" customHeight="1">
      <c r="A22" s="1577"/>
      <c r="B22" s="1718"/>
      <c r="C22" s="1718"/>
      <c r="D22" s="1719"/>
      <c r="E22" s="372"/>
      <c r="F22" s="372"/>
      <c r="G22" s="372"/>
      <c r="H22" s="372"/>
      <c r="I22" s="372"/>
      <c r="J22" s="372"/>
      <c r="K22" s="372"/>
      <c r="L22" s="949"/>
    </row>
    <row r="23" spans="1:13" ht="21" customHeight="1">
      <c r="A23" s="1577"/>
      <c r="B23" s="1718"/>
      <c r="C23" s="1718"/>
      <c r="D23" s="1719"/>
      <c r="E23" s="372"/>
      <c r="F23" s="372"/>
      <c r="G23" s="372"/>
      <c r="H23" s="372"/>
      <c r="I23" s="372"/>
      <c r="J23" s="372"/>
      <c r="K23" s="372"/>
      <c r="L23" s="949"/>
    </row>
    <row r="24" spans="1:13" ht="21" customHeight="1">
      <c r="A24" s="1577"/>
      <c r="B24" s="1718"/>
      <c r="C24" s="1718"/>
      <c r="D24" s="1719"/>
      <c r="E24" s="372"/>
      <c r="F24" s="372"/>
      <c r="G24" s="372"/>
      <c r="H24" s="372"/>
      <c r="I24" s="372"/>
      <c r="J24" s="372"/>
      <c r="K24" s="372"/>
      <c r="L24" s="949"/>
      <c r="M24" s="325"/>
    </row>
    <row r="25" spans="1:13" ht="21" customHeight="1">
      <c r="B25" s="1718"/>
      <c r="C25" s="1718"/>
      <c r="D25" s="1719"/>
      <c r="E25" s="372"/>
      <c r="F25" s="372"/>
      <c r="G25" s="372"/>
      <c r="H25" s="372"/>
      <c r="I25" s="372"/>
      <c r="J25" s="372"/>
      <c r="K25" s="372"/>
      <c r="L25" s="949"/>
    </row>
    <row r="26" spans="1:13" ht="21" customHeight="1">
      <c r="B26" s="1718"/>
      <c r="C26" s="1718"/>
      <c r="D26" s="1719"/>
      <c r="E26" s="372"/>
      <c r="F26" s="372"/>
      <c r="G26" s="372"/>
      <c r="H26" s="372"/>
      <c r="I26" s="372"/>
      <c r="J26" s="372"/>
      <c r="K26" s="372"/>
      <c r="L26" s="949"/>
    </row>
    <row r="27" spans="1:13" ht="21" customHeight="1" thickBot="1">
      <c r="B27" s="1718"/>
      <c r="C27" s="1718"/>
      <c r="D27" s="1719"/>
      <c r="E27" s="637"/>
      <c r="F27" s="637"/>
      <c r="G27" s="637"/>
      <c r="H27" s="637"/>
      <c r="I27" s="637"/>
      <c r="J27" s="637"/>
      <c r="K27" s="637"/>
      <c r="L27" s="1013"/>
    </row>
    <row r="28" spans="1:13" ht="21" customHeight="1" thickTop="1" thickBot="1">
      <c r="B28" s="148"/>
      <c r="C28" s="27"/>
      <c r="D28" s="795" t="s">
        <v>3545</v>
      </c>
      <c r="E28" s="219">
        <f t="shared" ref="E28:K28" si="0">SUM(E9:E27)</f>
        <v>1000977.34</v>
      </c>
      <c r="F28" s="219">
        <f>SUM(F9:F27)</f>
        <v>1180232.79</v>
      </c>
      <c r="G28" s="219">
        <f t="shared" si="0"/>
        <v>1703000</v>
      </c>
      <c r="H28" s="219">
        <f t="shared" si="0"/>
        <v>490223.16000000003</v>
      </c>
      <c r="I28" s="219">
        <f t="shared" si="0"/>
        <v>2509145.08</v>
      </c>
      <c r="J28" s="219">
        <f t="shared" si="0"/>
        <v>0</v>
      </c>
      <c r="K28" s="219">
        <f t="shared" si="0"/>
        <v>1369043.0199999998</v>
      </c>
      <c r="L28" s="227">
        <f>SUM(L9:L27)</f>
        <v>1720608.0699999998</v>
      </c>
    </row>
    <row r="29" spans="1:13" ht="13.5" customHeight="1" thickTop="1">
      <c r="B29" s="154"/>
      <c r="C29" s="44" t="s">
        <v>663</v>
      </c>
      <c r="D29" s="152"/>
      <c r="E29" s="286"/>
      <c r="F29" s="286"/>
      <c r="G29" s="286"/>
      <c r="H29" s="286"/>
      <c r="I29" s="286"/>
      <c r="J29" s="286"/>
      <c r="K29" s="755"/>
      <c r="L29" s="755"/>
    </row>
    <row r="30" spans="1:13">
      <c r="K30" s="325"/>
      <c r="L30" s="287"/>
    </row>
    <row r="33" spans="5:12">
      <c r="E33" s="325"/>
      <c r="F33" s="325"/>
    </row>
    <row r="34" spans="5:12">
      <c r="K34" s="325"/>
      <c r="L34" s="325"/>
    </row>
    <row r="35" spans="5:12">
      <c r="L35" s="325"/>
    </row>
    <row r="36" spans="5:12">
      <c r="L36" s="325"/>
    </row>
    <row r="38" spans="5:12">
      <c r="L38"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26">
    <mergeCell ref="B7:D7"/>
    <mergeCell ref="A12:A24"/>
    <mergeCell ref="B2:L2"/>
    <mergeCell ref="B3:L3"/>
    <mergeCell ref="E4:F6"/>
    <mergeCell ref="K4:L6"/>
    <mergeCell ref="B5:D5"/>
    <mergeCell ref="B6:D6"/>
    <mergeCell ref="B10:D10"/>
    <mergeCell ref="B11:D11"/>
    <mergeCell ref="B12:D12"/>
    <mergeCell ref="B13:D13"/>
    <mergeCell ref="B14:D14"/>
    <mergeCell ref="B15:D15"/>
    <mergeCell ref="B16:D16"/>
    <mergeCell ref="B17:D17"/>
    <mergeCell ref="B18:D18"/>
    <mergeCell ref="B19:D19"/>
    <mergeCell ref="B20:D20"/>
    <mergeCell ref="B21:D21"/>
    <mergeCell ref="B22:D22"/>
    <mergeCell ref="B27:D27"/>
    <mergeCell ref="B23:D23"/>
    <mergeCell ref="B24:D24"/>
    <mergeCell ref="B25:D25"/>
    <mergeCell ref="B26:D26"/>
  </mergeCells>
  <pageMargins left="0.25" right="0.25" top="0.5" bottom="0.5" header="0.25" footer="0.25"/>
  <pageSetup paperSize="5" orientation="landscape" r:id="rId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B3:Q47"/>
  <sheetViews>
    <sheetView topLeftCell="A33" zoomScaleNormal="100" zoomScaleSheetLayoutView="100" workbookViewId="0">
      <selection activeCell="H30" sqref="H30"/>
    </sheetView>
  </sheetViews>
  <sheetFormatPr defaultRowHeight="13.2"/>
  <cols>
    <col min="1" max="1" width="4.6640625" customWidth="1"/>
    <col min="2" max="2" width="4.88671875" customWidth="1"/>
    <col min="3" max="4" width="4.6640625" customWidth="1"/>
    <col min="5" max="5" width="31.5546875" customWidth="1"/>
    <col min="6" max="6" width="15.6640625" customWidth="1"/>
    <col min="7" max="7" width="16.6640625" style="246" customWidth="1"/>
    <col min="8" max="8" width="16.6640625" style="277" customWidth="1"/>
    <col min="9" max="9" width="13.5546875" style="745" bestFit="1" customWidth="1"/>
    <col min="10" max="10" width="10.88671875" style="745" bestFit="1" customWidth="1"/>
  </cols>
  <sheetData>
    <row r="3" spans="2:17" ht="22.8">
      <c r="B3" s="1549" t="s">
        <v>543</v>
      </c>
      <c r="C3" s="1549"/>
      <c r="D3" s="1549"/>
      <c r="E3" s="1549"/>
      <c r="F3" s="1549"/>
      <c r="G3" s="1549"/>
      <c r="H3" s="1549"/>
    </row>
    <row r="4" spans="2:17" ht="22.8">
      <c r="B4" s="1549" t="s">
        <v>604</v>
      </c>
      <c r="C4" s="1549"/>
      <c r="D4" s="1549"/>
      <c r="E4" s="1549"/>
      <c r="F4" s="1549"/>
      <c r="G4" s="1549"/>
      <c r="H4" s="1549"/>
    </row>
    <row r="5" spans="2:17" ht="17.399999999999999">
      <c r="B5" s="1560" t="s">
        <v>780</v>
      </c>
      <c r="C5" s="1560"/>
      <c r="D5" s="1560"/>
      <c r="E5" s="1560"/>
      <c r="F5" s="1560"/>
      <c r="G5" s="1560"/>
      <c r="H5" s="1560"/>
    </row>
    <row r="6" spans="2:17" ht="15.6">
      <c r="B6" s="1556" t="str">
        <f>'KEY INPUTS'!D44</f>
        <v>AS  AT  DECEMBER  31, 2019</v>
      </c>
      <c r="C6" s="1509"/>
      <c r="D6" s="1509"/>
      <c r="E6" s="1509"/>
      <c r="F6" s="1509"/>
      <c r="G6" s="1509"/>
      <c r="H6" s="1509"/>
    </row>
    <row r="7" spans="2:17" ht="13.8" thickBot="1"/>
    <row r="8" spans="2:17" ht="36" customHeight="1" thickTop="1" thickBot="1">
      <c r="B8" s="1553" t="s">
        <v>124</v>
      </c>
      <c r="C8" s="1553"/>
      <c r="D8" s="1553"/>
      <c r="E8" s="1553"/>
      <c r="F8" s="1554"/>
      <c r="G8" s="259" t="s">
        <v>125</v>
      </c>
      <c r="H8" s="260" t="s">
        <v>126</v>
      </c>
    </row>
    <row r="9" spans="2:17" ht="21" customHeight="1" thickTop="1">
      <c r="B9" s="839"/>
      <c r="C9" s="839"/>
      <c r="D9" s="839"/>
      <c r="E9" s="839"/>
      <c r="F9" s="839"/>
      <c r="G9" s="840"/>
      <c r="H9" s="841"/>
      <c r="K9" s="322"/>
      <c r="L9" s="322"/>
      <c r="M9" s="322"/>
      <c r="N9" s="322"/>
      <c r="O9" s="322"/>
      <c r="P9" s="322"/>
      <c r="Q9" s="322"/>
    </row>
    <row r="10" spans="2:17" ht="21" customHeight="1">
      <c r="B10" s="843" t="s">
        <v>3508</v>
      </c>
      <c r="C10" s="640"/>
      <c r="D10" s="640"/>
      <c r="E10" s="640"/>
      <c r="F10" s="640"/>
      <c r="G10" s="842"/>
      <c r="H10" s="663"/>
      <c r="K10" s="322"/>
      <c r="L10" s="377"/>
      <c r="M10" s="322"/>
      <c r="N10" s="322"/>
      <c r="O10" s="322"/>
      <c r="P10" s="322"/>
      <c r="Q10" s="322"/>
    </row>
    <row r="11" spans="2:17" ht="21" customHeight="1">
      <c r="B11" s="640"/>
      <c r="C11" s="843" t="s">
        <v>459</v>
      </c>
      <c r="D11" s="640"/>
      <c r="E11" s="640"/>
      <c r="F11" s="640"/>
      <c r="G11" s="842">
        <f>+'9-Cash Reconciliation'!I8</f>
        <v>4521.6000000000004</v>
      </c>
      <c r="H11" s="663"/>
      <c r="I11" s="746"/>
      <c r="K11" s="322"/>
      <c r="L11" s="322"/>
      <c r="M11" s="322"/>
      <c r="N11" s="322"/>
      <c r="O11" s="322"/>
      <c r="P11" s="322"/>
      <c r="Q11" s="322"/>
    </row>
    <row r="12" spans="2:17" ht="21" customHeight="1">
      <c r="B12" s="566"/>
      <c r="C12" s="567" t="s">
        <v>3936</v>
      </c>
      <c r="D12" s="566"/>
      <c r="E12" s="566"/>
      <c r="F12" s="566"/>
      <c r="G12" s="374"/>
      <c r="H12" s="578">
        <v>413.4</v>
      </c>
      <c r="K12" s="322"/>
      <c r="L12" s="322"/>
      <c r="M12" s="322"/>
      <c r="N12" s="322"/>
      <c r="O12" s="322"/>
      <c r="P12" s="322"/>
      <c r="Q12" s="322"/>
    </row>
    <row r="13" spans="2:17" ht="21" customHeight="1">
      <c r="B13" s="566"/>
      <c r="C13" s="567" t="s">
        <v>3509</v>
      </c>
      <c r="D13" s="566"/>
      <c r="E13" s="566"/>
      <c r="F13" s="566"/>
      <c r="G13" s="374"/>
      <c r="H13" s="578"/>
      <c r="K13" s="322"/>
      <c r="L13" s="322"/>
      <c r="M13" s="322"/>
      <c r="N13" s="322"/>
      <c r="O13" s="322"/>
      <c r="P13" s="322"/>
      <c r="Q13" s="322"/>
    </row>
    <row r="14" spans="2:17" ht="21" customHeight="1">
      <c r="B14" s="566"/>
      <c r="C14" s="567" t="s">
        <v>3510</v>
      </c>
      <c r="D14" s="566"/>
      <c r="E14" s="566"/>
      <c r="F14" s="566"/>
      <c r="G14" s="374"/>
      <c r="H14" s="578">
        <v>4108.2</v>
      </c>
      <c r="I14" s="747"/>
      <c r="K14" s="322"/>
      <c r="L14" s="322"/>
      <c r="M14" s="322"/>
      <c r="N14" s="322"/>
      <c r="O14" s="322"/>
      <c r="P14" s="322"/>
      <c r="Q14" s="322"/>
    </row>
    <row r="15" spans="2:17" ht="21" customHeight="1">
      <c r="B15" s="566"/>
      <c r="C15" s="566"/>
      <c r="D15" s="566"/>
      <c r="E15" s="566"/>
      <c r="F15" s="566"/>
      <c r="G15" s="597"/>
      <c r="H15" s="579"/>
      <c r="I15" s="747"/>
      <c r="K15" s="322"/>
      <c r="L15" s="322"/>
      <c r="M15" s="322"/>
      <c r="N15" s="322"/>
      <c r="O15" s="322"/>
      <c r="P15" s="322"/>
      <c r="Q15" s="322"/>
    </row>
    <row r="16" spans="2:17" ht="21" customHeight="1" thickBot="1">
      <c r="B16" s="566"/>
      <c r="C16" s="566"/>
      <c r="D16" s="566"/>
      <c r="E16" s="566"/>
      <c r="F16" s="566"/>
      <c r="G16" s="597"/>
      <c r="H16" s="761"/>
      <c r="K16" s="322"/>
      <c r="L16" s="322"/>
      <c r="M16" s="322"/>
      <c r="N16" s="322"/>
      <c r="O16" s="322"/>
      <c r="P16" s="322"/>
      <c r="Q16" s="322"/>
    </row>
    <row r="17" spans="2:17" ht="21" customHeight="1" thickTop="1" thickBot="1">
      <c r="B17" s="749"/>
      <c r="C17" s="835" t="s">
        <v>3511</v>
      </c>
      <c r="D17" s="845"/>
      <c r="E17" s="845"/>
      <c r="F17" s="845"/>
      <c r="G17" s="846">
        <f>SUM(G9:G16)</f>
        <v>4521.6000000000004</v>
      </c>
      <c r="H17" s="847">
        <f>SUM(H9:H16)</f>
        <v>4521.5999999999995</v>
      </c>
      <c r="I17" s="747"/>
      <c r="K17" s="322"/>
      <c r="L17" s="322"/>
      <c r="M17" s="322"/>
      <c r="N17" s="322"/>
      <c r="O17" s="322"/>
      <c r="P17" s="322"/>
      <c r="Q17" s="322"/>
    </row>
    <row r="18" spans="2:17" ht="21" customHeight="1" thickTop="1">
      <c r="B18" s="640"/>
      <c r="C18" s="640"/>
      <c r="D18" s="640"/>
      <c r="E18" s="640"/>
      <c r="F18" s="640"/>
      <c r="G18" s="848"/>
      <c r="H18" s="849"/>
      <c r="K18" s="322"/>
      <c r="L18" s="322"/>
      <c r="M18" s="322"/>
      <c r="N18" s="322"/>
      <c r="O18" s="322"/>
      <c r="P18" s="322"/>
      <c r="Q18" s="322"/>
    </row>
    <row r="19" spans="2:17" ht="21" customHeight="1">
      <c r="B19" s="843" t="s">
        <v>3512</v>
      </c>
      <c r="C19" s="640"/>
      <c r="D19" s="640"/>
      <c r="E19" s="640"/>
      <c r="F19" s="640"/>
      <c r="G19" s="842"/>
      <c r="H19" s="663"/>
      <c r="K19" s="322"/>
      <c r="L19" s="322"/>
      <c r="M19" s="322"/>
      <c r="N19" s="322"/>
      <c r="O19" s="322"/>
      <c r="P19" s="322"/>
      <c r="Q19" s="322"/>
    </row>
    <row r="20" spans="2:17" ht="21" customHeight="1">
      <c r="B20" s="640"/>
      <c r="C20" s="843" t="s">
        <v>459</v>
      </c>
      <c r="D20" s="640"/>
      <c r="E20" s="640"/>
      <c r="F20" s="640"/>
      <c r="G20" s="842">
        <f>+'9-Cash Reconciliation'!I9</f>
        <v>690724.02</v>
      </c>
      <c r="H20" s="663"/>
      <c r="I20" s="746"/>
      <c r="K20" s="322"/>
      <c r="L20" s="322"/>
      <c r="M20" s="322"/>
      <c r="N20" s="322"/>
      <c r="O20" s="322"/>
      <c r="P20" s="322"/>
      <c r="Q20" s="322"/>
    </row>
    <row r="21" spans="2:17" ht="21" customHeight="1">
      <c r="B21" s="566"/>
      <c r="C21" s="567" t="s">
        <v>1153</v>
      </c>
      <c r="D21" s="566"/>
      <c r="E21" s="566"/>
      <c r="F21" s="566"/>
      <c r="G21" s="374">
        <v>97591.98</v>
      </c>
      <c r="H21" s="578"/>
      <c r="K21" s="322"/>
      <c r="L21" s="322"/>
      <c r="M21" s="322"/>
      <c r="N21" s="322"/>
      <c r="O21" s="322"/>
      <c r="P21" s="322"/>
      <c r="Q21" s="322"/>
    </row>
    <row r="22" spans="2:17" ht="21" customHeight="1">
      <c r="B22" s="566"/>
      <c r="C22" s="566" t="s">
        <v>3800</v>
      </c>
      <c r="D22" s="566"/>
      <c r="E22" s="566"/>
      <c r="F22" s="566"/>
      <c r="G22" s="374">
        <v>933157.62</v>
      </c>
      <c r="H22" s="578"/>
      <c r="K22" s="322"/>
      <c r="L22" s="322"/>
      <c r="M22" s="322"/>
      <c r="N22" s="322"/>
      <c r="O22" s="322"/>
      <c r="P22" s="322"/>
      <c r="Q22" s="322"/>
    </row>
    <row r="23" spans="2:17" ht="21" customHeight="1">
      <c r="B23" s="566"/>
      <c r="C23" s="566"/>
      <c r="D23" s="566"/>
      <c r="E23" s="566"/>
      <c r="F23" s="566"/>
      <c r="G23" s="374"/>
      <c r="H23" s="578"/>
      <c r="I23" s="747"/>
      <c r="K23" s="322"/>
      <c r="L23" s="322"/>
      <c r="M23" s="322"/>
      <c r="N23" s="322"/>
      <c r="O23" s="322"/>
      <c r="P23" s="322"/>
      <c r="Q23" s="322"/>
    </row>
    <row r="24" spans="2:17" ht="21" customHeight="1">
      <c r="B24" s="566"/>
      <c r="C24" s="567" t="s">
        <v>3801</v>
      </c>
      <c r="D24" s="573"/>
      <c r="E24" s="566"/>
      <c r="F24" s="566"/>
      <c r="G24" s="374"/>
      <c r="H24" s="578">
        <v>11208.84</v>
      </c>
      <c r="I24" s="750"/>
      <c r="K24" s="322"/>
      <c r="L24" s="322"/>
      <c r="M24" s="322"/>
      <c r="N24" s="322"/>
      <c r="O24" s="322"/>
      <c r="P24" s="322"/>
      <c r="Q24" s="322"/>
    </row>
    <row r="25" spans="2:17" ht="21" customHeight="1">
      <c r="B25" s="566"/>
      <c r="C25" s="567" t="s">
        <v>3802</v>
      </c>
      <c r="D25" s="566"/>
      <c r="E25" s="566"/>
      <c r="F25" s="566"/>
      <c r="G25" s="374"/>
      <c r="H25" s="578">
        <v>1184478.7</v>
      </c>
      <c r="I25" s="747"/>
      <c r="K25" s="322"/>
      <c r="L25" s="322"/>
      <c r="M25" s="322"/>
      <c r="N25" s="322"/>
      <c r="O25" s="322"/>
      <c r="P25" s="322"/>
      <c r="Q25" s="322"/>
    </row>
    <row r="26" spans="2:17" ht="21" customHeight="1">
      <c r="B26" s="566"/>
      <c r="C26" s="566" t="s">
        <v>3803</v>
      </c>
      <c r="D26" s="566"/>
      <c r="E26" s="566"/>
      <c r="F26" s="566"/>
      <c r="G26" s="374"/>
      <c r="H26" s="578">
        <v>479601.9</v>
      </c>
      <c r="I26" s="747"/>
      <c r="K26" s="322"/>
      <c r="L26" s="322"/>
      <c r="M26" s="322"/>
      <c r="N26" s="322"/>
      <c r="O26" s="322"/>
      <c r="P26" s="322"/>
      <c r="Q26" s="322"/>
    </row>
    <row r="27" spans="2:17" s="322" customFormat="1" ht="21" customHeight="1" thickBot="1">
      <c r="B27" s="566"/>
      <c r="C27" s="566" t="s">
        <v>999</v>
      </c>
      <c r="D27" s="566"/>
      <c r="E27" s="566"/>
      <c r="F27" s="566"/>
      <c r="G27" s="597"/>
      <c r="H27" s="579">
        <v>46184.18</v>
      </c>
      <c r="I27" s="747"/>
      <c r="J27" s="745"/>
    </row>
    <row r="28" spans="2:17" s="322" customFormat="1" ht="21" customHeight="1" thickTop="1" thickBot="1">
      <c r="B28" s="845"/>
      <c r="C28" s="835" t="s">
        <v>3511</v>
      </c>
      <c r="D28" s="845"/>
      <c r="E28" s="845"/>
      <c r="F28" s="845"/>
      <c r="G28" s="846">
        <f>SUM(G20:G27)</f>
        <v>1721473.62</v>
      </c>
      <c r="H28" s="847">
        <f>SUM(H20:H27)</f>
        <v>1721473.6199999999</v>
      </c>
      <c r="I28" s="747"/>
      <c r="J28" s="745"/>
    </row>
    <row r="29" spans="2:17" ht="21" customHeight="1" thickTop="1">
      <c r="B29" s="640"/>
      <c r="C29" s="640"/>
      <c r="D29" s="640"/>
      <c r="E29" s="640"/>
      <c r="F29" s="640"/>
      <c r="G29" s="848"/>
      <c r="H29" s="849"/>
      <c r="I29" s="750"/>
      <c r="K29" s="322"/>
      <c r="L29" s="322"/>
      <c r="M29" s="322"/>
      <c r="N29" s="322"/>
      <c r="O29" s="322"/>
      <c r="P29" s="322"/>
      <c r="Q29" s="322"/>
    </row>
    <row r="30" spans="2:17" ht="21" customHeight="1">
      <c r="B30" s="843" t="s">
        <v>3513</v>
      </c>
      <c r="C30" s="640"/>
      <c r="D30" s="640"/>
      <c r="E30" s="640"/>
      <c r="F30" s="640"/>
      <c r="G30" s="842"/>
      <c r="H30" s="663"/>
      <c r="I30" s="747"/>
      <c r="K30" s="322"/>
      <c r="L30" s="322"/>
      <c r="M30" s="322"/>
      <c r="N30" s="322"/>
      <c r="O30" s="322"/>
      <c r="P30" s="322"/>
      <c r="Q30" s="322"/>
    </row>
    <row r="31" spans="2:17" s="322" customFormat="1" ht="21" customHeight="1">
      <c r="B31" s="640"/>
      <c r="C31" s="843" t="s">
        <v>459</v>
      </c>
      <c r="D31" s="640"/>
      <c r="E31" s="640"/>
      <c r="F31" s="640"/>
      <c r="G31" s="842">
        <f>+'9-Cash Reconciliation'!I10</f>
        <v>38986.03</v>
      </c>
      <c r="H31" s="663"/>
      <c r="I31" s="747"/>
      <c r="J31" s="745"/>
    </row>
    <row r="32" spans="2:17" ht="21" customHeight="1">
      <c r="B32" s="566"/>
      <c r="C32" s="566" t="s">
        <v>3940</v>
      </c>
      <c r="D32" s="566"/>
      <c r="E32" s="566"/>
      <c r="F32" s="566"/>
      <c r="G32" s="374"/>
      <c r="H32" s="578">
        <v>2311.77</v>
      </c>
      <c r="I32" s="747"/>
    </row>
    <row r="33" spans="2:10" ht="21" customHeight="1">
      <c r="B33" s="566"/>
      <c r="C33" s="566" t="s">
        <v>3822</v>
      </c>
      <c r="D33" s="566"/>
      <c r="E33" s="566"/>
      <c r="F33" s="566"/>
      <c r="G33" s="374"/>
      <c r="H33" s="578">
        <v>36674.26</v>
      </c>
      <c r="I33" s="747"/>
    </row>
    <row r="34" spans="2:10" ht="21" customHeight="1">
      <c r="B34" s="566"/>
      <c r="C34" s="566"/>
      <c r="D34" s="566"/>
      <c r="E34" s="566"/>
      <c r="F34" s="566"/>
      <c r="G34" s="374"/>
      <c r="H34" s="578"/>
      <c r="I34" s="748"/>
    </row>
    <row r="35" spans="2:10" ht="21" customHeight="1">
      <c r="B35" s="566"/>
      <c r="C35" s="566"/>
      <c r="D35" s="566"/>
      <c r="E35" s="566"/>
      <c r="F35" s="566"/>
      <c r="G35" s="374"/>
      <c r="H35" s="578"/>
      <c r="I35" s="747"/>
    </row>
    <row r="36" spans="2:10" ht="21" customHeight="1">
      <c r="B36" s="566"/>
      <c r="C36" s="566"/>
      <c r="D36" s="566"/>
      <c r="E36" s="566"/>
      <c r="F36" s="566"/>
      <c r="G36" s="374"/>
      <c r="H36" s="578"/>
      <c r="I36" s="747"/>
    </row>
    <row r="37" spans="2:10" ht="21" customHeight="1" thickBot="1">
      <c r="B37" s="566"/>
      <c r="C37" s="566"/>
      <c r="D37" s="566"/>
      <c r="E37" s="566"/>
      <c r="F37" s="566"/>
      <c r="G37" s="597"/>
      <c r="H37" s="579"/>
    </row>
    <row r="38" spans="2:10" s="322" customFormat="1" ht="21" customHeight="1" thickTop="1" thickBot="1">
      <c r="B38" s="845"/>
      <c r="C38" s="835" t="s">
        <v>3511</v>
      </c>
      <c r="D38" s="845"/>
      <c r="E38" s="845"/>
      <c r="F38" s="845"/>
      <c r="G38" s="846">
        <f>SUM(G31:G37)</f>
        <v>38986.03</v>
      </c>
      <c r="H38" s="847">
        <f>SUM(H31:H37)</f>
        <v>38986.03</v>
      </c>
      <c r="I38" s="745"/>
      <c r="J38" s="745"/>
    </row>
    <row r="39" spans="2:10" s="322" customFormat="1" ht="21" customHeight="1" thickTop="1">
      <c r="B39" s="640"/>
      <c r="C39" s="640"/>
      <c r="D39" s="640"/>
      <c r="E39" s="640"/>
      <c r="F39" s="640"/>
      <c r="G39" s="848"/>
      <c r="H39" s="849"/>
      <c r="I39" s="745"/>
      <c r="J39" s="745"/>
    </row>
    <row r="40" spans="2:10" s="322" customFormat="1" ht="21" customHeight="1">
      <c r="B40" s="843" t="s">
        <v>3514</v>
      </c>
      <c r="C40" s="640"/>
      <c r="D40" s="640"/>
      <c r="E40" s="640"/>
      <c r="F40" s="640"/>
      <c r="G40" s="848"/>
      <c r="H40" s="849"/>
      <c r="I40" s="745"/>
      <c r="J40" s="745"/>
    </row>
    <row r="41" spans="2:10" s="322" customFormat="1" ht="21" customHeight="1">
      <c r="B41" s="640"/>
      <c r="C41" s="843" t="s">
        <v>459</v>
      </c>
      <c r="D41" s="640"/>
      <c r="E41" s="640"/>
      <c r="F41" s="640"/>
      <c r="G41" s="848">
        <f>+'9-Cash Reconciliation'!I11</f>
        <v>0</v>
      </c>
      <c r="H41" s="849"/>
      <c r="I41" s="745"/>
      <c r="J41" s="745"/>
    </row>
    <row r="42" spans="2:10" s="322" customFormat="1" ht="21" customHeight="1">
      <c r="B42" s="566"/>
      <c r="C42" s="566"/>
      <c r="D42" s="566"/>
      <c r="E42" s="566"/>
      <c r="F42" s="566"/>
      <c r="G42" s="374"/>
      <c r="H42" s="578"/>
      <c r="I42" s="745"/>
      <c r="J42" s="745"/>
    </row>
    <row r="43" spans="2:10" s="322" customFormat="1" ht="21" customHeight="1">
      <c r="B43" s="566"/>
      <c r="C43" s="566"/>
      <c r="D43" s="566"/>
      <c r="E43" s="566"/>
      <c r="F43" s="566"/>
      <c r="G43" s="374"/>
      <c r="H43" s="578"/>
      <c r="I43" s="745"/>
      <c r="J43" s="745"/>
    </row>
    <row r="44" spans="2:10" s="322" customFormat="1" ht="21" customHeight="1" thickBot="1">
      <c r="B44" s="566"/>
      <c r="C44" s="566"/>
      <c r="D44" s="566"/>
      <c r="E44" s="566"/>
      <c r="F44" s="566"/>
      <c r="G44" s="597"/>
      <c r="H44" s="579"/>
      <c r="I44" s="745"/>
      <c r="J44" s="745"/>
    </row>
    <row r="45" spans="2:10" ht="21" customHeight="1" thickTop="1" thickBot="1">
      <c r="B45" s="845"/>
      <c r="C45" s="835" t="s">
        <v>3511</v>
      </c>
      <c r="D45" s="845"/>
      <c r="E45" s="845"/>
      <c r="F45" s="845"/>
      <c r="G45" s="846">
        <f>SUM(G41:G44)</f>
        <v>0</v>
      </c>
      <c r="H45" s="847">
        <f>SUM(H41:H44)</f>
        <v>0</v>
      </c>
    </row>
    <row r="46" spans="2:10" ht="13.8" thickTop="1">
      <c r="B46" s="1511" t="s">
        <v>127</v>
      </c>
      <c r="C46" s="1511"/>
      <c r="D46" s="1511"/>
      <c r="E46" s="1511"/>
      <c r="F46" s="1511"/>
      <c r="G46" s="1511"/>
      <c r="H46" s="1511"/>
    </row>
    <row r="47" spans="2:10" ht="13.8">
      <c r="B47" s="1507" t="s">
        <v>605</v>
      </c>
      <c r="C47" s="1507"/>
      <c r="D47" s="1507"/>
      <c r="E47" s="1507"/>
      <c r="F47" s="1507"/>
      <c r="G47" s="1507"/>
      <c r="H47" s="1507"/>
    </row>
  </sheetData>
  <sheetProtection algorithmName="SHA-512" hashValue="yN01n+4BGvgMEhKf6BW7cym+aX4Nk7mKBT6G39DCaQrA/VYdUm3lIzakS7pxDf6N497lUpTijQOrwqrjNfqEOA==" saltValue="+iYaOGOojbhFUeb25E1zsA==" spinCount="100000" sheet="1" objects="1" scenarios="1"/>
  <customSheetViews>
    <customSheetView guid="{AC653BD0-46E3-42CB-9C76-32121A57B65A}" topLeftCell="A7">
      <selection activeCell="J26" sqref="J26"/>
      <pageMargins left="0.25" right="0.25" top="0.5" bottom="0.5" header="0.25" footer="0.25"/>
      <pageSetup paperSize="5" orientation="portrait" r:id="rId1"/>
      <headerFooter alignWithMargins="0"/>
    </customSheetView>
    <customSheetView guid="{B165479B-DC25-403C-9595-F1A88A4AA9A2}" topLeftCell="A7">
      <selection activeCell="C13" sqref="C13"/>
      <pageMargins left="0.25" right="0.25" top="0.5" bottom="0.5" header="0.25" footer="0.25"/>
      <pageSetup paperSize="5" orientation="portrait" r:id="rId2"/>
      <headerFooter alignWithMargins="0"/>
    </customSheetView>
    <customSheetView guid="{A64E4C9E-A3DA-4AAA-8607-F524450B9436}">
      <selection activeCell="H26" sqref="H26"/>
      <pageMargins left="0.25" right="0.25" top="0.5" bottom="0.5" header="0.25" footer="0.25"/>
      <pageSetup paperSize="5" orientation="portrait" r:id="rId3"/>
      <headerFooter alignWithMargins="0"/>
    </customSheetView>
    <customSheetView guid="{AB4FBD91-4533-473A-9702-569FF6402073}" topLeftCell="A22">
      <selection activeCell="H26" sqref="H26"/>
      <pageMargins left="0.25" right="0.25" top="0.5" bottom="0.5" header="0.25" footer="0.25"/>
      <pageSetup paperSize="5" orientation="portrait" r:id="rId4"/>
      <headerFooter alignWithMargins="0"/>
    </customSheetView>
  </customSheetViews>
  <mergeCells count="7">
    <mergeCell ref="B8:F8"/>
    <mergeCell ref="B47:H47"/>
    <mergeCell ref="B3:H3"/>
    <mergeCell ref="B4:H4"/>
    <mergeCell ref="B6:H6"/>
    <mergeCell ref="B5:H5"/>
    <mergeCell ref="B46:H46"/>
  </mergeCells>
  <phoneticPr fontId="0" type="noConversion"/>
  <pageMargins left="0.25" right="0.25" top="0.5" bottom="0.5" header="0.25" footer="0.25"/>
  <pageSetup paperSize="5" scale="77" orientation="portrait" r:id="rId5"/>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49">
    <pageSetUpPr fitToPage="1"/>
  </sheetPr>
  <dimension ref="A1:M38"/>
  <sheetViews>
    <sheetView topLeftCell="A16" zoomScaleNormal="100" workbookViewId="0">
      <selection activeCell="B3" sqref="B3:O3"/>
    </sheetView>
  </sheetViews>
  <sheetFormatPr defaultColWidth="9.109375" defaultRowHeight="13.2"/>
  <cols>
    <col min="1" max="1" width="5.6640625" style="322" customWidth="1"/>
    <col min="2" max="3" width="4.88671875" style="322" customWidth="1"/>
    <col min="4" max="4" width="30.6640625" style="322" customWidth="1"/>
    <col min="5" max="12" width="15.6640625" style="322" customWidth="1"/>
    <col min="13" max="13" width="15.33203125" style="322" customWidth="1"/>
    <col min="14" max="16384" width="9.109375" style="322"/>
  </cols>
  <sheetData>
    <row r="1" spans="1:13" ht="8.25" customHeight="1"/>
    <row r="2" spans="1:13" ht="20.399999999999999">
      <c r="B2" s="1508" t="s">
        <v>665</v>
      </c>
      <c r="C2" s="1508"/>
      <c r="D2" s="1508"/>
      <c r="E2" s="1508"/>
      <c r="F2" s="1508"/>
      <c r="G2" s="1508"/>
      <c r="H2" s="1508"/>
      <c r="I2" s="1508"/>
      <c r="J2" s="1508"/>
      <c r="K2" s="1508"/>
      <c r="L2" s="1508"/>
    </row>
    <row r="3" spans="1:13" ht="9.75" customHeight="1" thickBot="1">
      <c r="B3" s="1508"/>
      <c r="C3" s="1508"/>
      <c r="D3" s="1508"/>
      <c r="E3" s="1508"/>
      <c r="F3" s="1508"/>
      <c r="G3" s="1508"/>
      <c r="H3" s="1508"/>
      <c r="I3" s="1508"/>
      <c r="J3" s="1508"/>
      <c r="K3" s="1508"/>
      <c r="L3" s="1508"/>
    </row>
    <row r="4" spans="1:13" ht="13.5" customHeight="1" thickTop="1">
      <c r="B4" s="11"/>
      <c r="C4" s="11"/>
      <c r="D4" s="11"/>
      <c r="E4" s="1737" t="str">
        <f>'35- Cap Fund Imprv Auth'!E4:F6</f>
        <v>Balance - January 1, 2019</v>
      </c>
      <c r="F4" s="1619"/>
      <c r="G4" s="12"/>
      <c r="H4" s="12"/>
      <c r="I4" s="12"/>
      <c r="J4" s="12"/>
      <c r="K4" s="1737" t="str">
        <f>'35- Cap Fund Imprv Auth'!K4:L6</f>
        <v>Balance - December 31, 2019</v>
      </c>
      <c r="L4" s="1742"/>
    </row>
    <row r="5" spans="1:13" ht="13.5" customHeight="1">
      <c r="B5" s="1546" t="s">
        <v>656</v>
      </c>
      <c r="C5" s="1546"/>
      <c r="D5" s="1595"/>
      <c r="E5" s="1738"/>
      <c r="F5" s="1739"/>
      <c r="G5" s="758"/>
      <c r="H5" s="758"/>
      <c r="I5" s="758"/>
      <c r="J5" s="758"/>
      <c r="K5" s="1738"/>
      <c r="L5" s="1743"/>
    </row>
    <row r="6" spans="1:13" ht="13.5" customHeight="1">
      <c r="B6" s="1546" t="s">
        <v>657</v>
      </c>
      <c r="C6" s="1546"/>
      <c r="D6" s="1595"/>
      <c r="E6" s="1740"/>
      <c r="F6" s="1741"/>
      <c r="G6" s="758">
        <f>'KEY INPUTS'!D34</f>
        <v>2019</v>
      </c>
      <c r="H6" s="921" t="s">
        <v>280</v>
      </c>
      <c r="I6" s="758" t="s">
        <v>302</v>
      </c>
      <c r="J6" s="758" t="s">
        <v>661</v>
      </c>
      <c r="K6" s="1740"/>
      <c r="L6" s="1744"/>
    </row>
    <row r="7" spans="1:13" ht="13.5" customHeight="1">
      <c r="B7" s="1546" t="s">
        <v>658</v>
      </c>
      <c r="C7" s="1546"/>
      <c r="D7" s="1595"/>
      <c r="E7" s="282" t="s">
        <v>659</v>
      </c>
      <c r="F7" s="282" t="s">
        <v>660</v>
      </c>
      <c r="G7" s="282" t="s">
        <v>661</v>
      </c>
      <c r="H7" s="282"/>
      <c r="I7" s="282"/>
      <c r="J7" s="282" t="s">
        <v>558</v>
      </c>
      <c r="K7" s="282" t="s">
        <v>659</v>
      </c>
      <c r="L7" s="21" t="s">
        <v>660</v>
      </c>
    </row>
    <row r="8" spans="1:13" ht="13.5" customHeight="1" thickBot="1">
      <c r="B8" s="10"/>
      <c r="C8" s="10"/>
      <c r="D8" s="10"/>
      <c r="E8" s="14"/>
      <c r="F8" s="14"/>
      <c r="G8" s="16"/>
      <c r="H8" s="16"/>
      <c r="I8" s="14"/>
      <c r="J8" s="14"/>
      <c r="K8" s="16"/>
      <c r="L8" s="156"/>
    </row>
    <row r="9" spans="1:13" ht="21" customHeight="1" thickTop="1">
      <c r="B9" s="229" t="s">
        <v>3546</v>
      </c>
      <c r="C9" s="283"/>
      <c r="D9" s="23"/>
      <c r="E9" s="224">
        <f>+'35.9- Cap Fund Imprv Auth'!E28</f>
        <v>1000977.34</v>
      </c>
      <c r="F9" s="224">
        <f>+'35.9- Cap Fund Imprv Auth'!F28</f>
        <v>1180232.79</v>
      </c>
      <c r="G9" s="224">
        <f>+'35.9- Cap Fund Imprv Auth'!G28</f>
        <v>1703000</v>
      </c>
      <c r="H9" s="224">
        <f>+'35.1- Cap Fund Imprv Auth '!H28</f>
        <v>1714586.04</v>
      </c>
      <c r="I9" s="224">
        <f>+'35.9- Cap Fund Imprv Auth'!I28</f>
        <v>2509145.08</v>
      </c>
      <c r="J9" s="224">
        <f>+'35.9- Cap Fund Imprv Auth'!J28</f>
        <v>0</v>
      </c>
      <c r="K9" s="224">
        <f>+'35.9- Cap Fund Imprv Auth'!K28</f>
        <v>1369043.0199999998</v>
      </c>
      <c r="L9" s="225">
        <f>+'35.9- Cap Fund Imprv Auth'!L28</f>
        <v>1720608.0699999998</v>
      </c>
    </row>
    <row r="10" spans="1:13" ht="21" customHeight="1">
      <c r="B10" s="1718"/>
      <c r="C10" s="1718"/>
      <c r="D10" s="1719"/>
      <c r="E10" s="372"/>
      <c r="F10" s="372"/>
      <c r="G10" s="372"/>
      <c r="H10" s="372"/>
      <c r="I10" s="372"/>
      <c r="J10" s="372"/>
      <c r="K10" s="372"/>
      <c r="L10" s="949"/>
    </row>
    <row r="11" spans="1:13" ht="21" customHeight="1">
      <c r="B11" s="1718"/>
      <c r="C11" s="1718"/>
      <c r="D11" s="1719"/>
      <c r="E11" s="372"/>
      <c r="F11" s="372"/>
      <c r="G11" s="372"/>
      <c r="H11" s="372"/>
      <c r="I11" s="372"/>
      <c r="J11" s="372"/>
      <c r="K11" s="372"/>
      <c r="L11" s="949"/>
    </row>
    <row r="12" spans="1:13" ht="21" customHeight="1">
      <c r="A12" s="1577" t="s">
        <v>3796</v>
      </c>
      <c r="B12" s="1718"/>
      <c r="C12" s="1718"/>
      <c r="D12" s="1719"/>
      <c r="E12" s="372"/>
      <c r="F12" s="372"/>
      <c r="G12" s="372"/>
      <c r="H12" s="372"/>
      <c r="I12" s="372"/>
      <c r="J12" s="372"/>
      <c r="K12" s="372"/>
      <c r="L12" s="949"/>
      <c r="M12" s="325"/>
    </row>
    <row r="13" spans="1:13" ht="21" customHeight="1">
      <c r="A13" s="1577"/>
      <c r="B13" s="1718"/>
      <c r="C13" s="1718"/>
      <c r="D13" s="1719"/>
      <c r="E13" s="372"/>
      <c r="F13" s="372"/>
      <c r="G13" s="372"/>
      <c r="H13" s="372"/>
      <c r="I13" s="372"/>
      <c r="J13" s="372"/>
      <c r="K13" s="372"/>
      <c r="L13" s="949"/>
    </row>
    <row r="14" spans="1:13" ht="21" customHeight="1">
      <c r="A14" s="1577"/>
      <c r="B14" s="1718"/>
      <c r="C14" s="1718"/>
      <c r="D14" s="1719"/>
      <c r="E14" s="372"/>
      <c r="F14" s="372"/>
      <c r="G14" s="372"/>
      <c r="H14" s="372"/>
      <c r="I14" s="372"/>
      <c r="J14" s="372"/>
      <c r="K14" s="372"/>
      <c r="L14" s="949"/>
    </row>
    <row r="15" spans="1:13" ht="21" customHeight="1">
      <c r="A15" s="1577"/>
      <c r="B15" s="1718"/>
      <c r="C15" s="1718"/>
      <c r="D15" s="1719"/>
      <c r="E15" s="372"/>
      <c r="F15" s="372"/>
      <c r="G15" s="372"/>
      <c r="H15" s="372"/>
      <c r="I15" s="372"/>
      <c r="J15" s="372"/>
      <c r="K15" s="372"/>
      <c r="L15" s="949"/>
    </row>
    <row r="16" spans="1:13" ht="21" customHeight="1">
      <c r="A16" s="1577"/>
      <c r="B16" s="1718"/>
      <c r="C16" s="1718"/>
      <c r="D16" s="1719"/>
      <c r="E16" s="372"/>
      <c r="F16" s="372"/>
      <c r="G16" s="372"/>
      <c r="H16" s="372"/>
      <c r="I16" s="372"/>
      <c r="J16" s="372"/>
      <c r="K16" s="372"/>
      <c r="L16" s="949"/>
    </row>
    <row r="17" spans="1:13" ht="21" customHeight="1">
      <c r="A17" s="1577"/>
      <c r="B17" s="1718"/>
      <c r="C17" s="1718"/>
      <c r="D17" s="1719"/>
      <c r="E17" s="372"/>
      <c r="F17" s="372"/>
      <c r="G17" s="372"/>
      <c r="H17" s="372"/>
      <c r="I17" s="372"/>
      <c r="J17" s="372"/>
      <c r="K17" s="372"/>
      <c r="L17" s="949"/>
    </row>
    <row r="18" spans="1:13" ht="21" customHeight="1">
      <c r="A18" s="1577"/>
      <c r="B18" s="1718"/>
      <c r="C18" s="1718"/>
      <c r="D18" s="1719"/>
      <c r="E18" s="372"/>
      <c r="F18" s="372"/>
      <c r="G18" s="372"/>
      <c r="H18" s="372"/>
      <c r="I18" s="372"/>
      <c r="J18" s="372"/>
      <c r="K18" s="372"/>
      <c r="L18" s="949"/>
    </row>
    <row r="19" spans="1:13" ht="21" customHeight="1">
      <c r="A19" s="1577"/>
      <c r="B19" s="1718"/>
      <c r="C19" s="1718"/>
      <c r="D19" s="1719"/>
      <c r="E19" s="372"/>
      <c r="F19" s="372"/>
      <c r="G19" s="372"/>
      <c r="H19" s="372"/>
      <c r="I19" s="372"/>
      <c r="J19" s="372"/>
      <c r="K19" s="372"/>
      <c r="L19" s="949"/>
    </row>
    <row r="20" spans="1:13" ht="21" customHeight="1">
      <c r="A20" s="1577"/>
      <c r="B20" s="1718"/>
      <c r="C20" s="1718"/>
      <c r="D20" s="1719"/>
      <c r="E20" s="372"/>
      <c r="F20" s="372"/>
      <c r="G20" s="372"/>
      <c r="H20" s="372"/>
      <c r="I20" s="372"/>
      <c r="J20" s="372"/>
      <c r="K20" s="372"/>
      <c r="L20" s="949"/>
    </row>
    <row r="21" spans="1:13" ht="21" customHeight="1">
      <c r="A21" s="1577"/>
      <c r="B21" s="1718"/>
      <c r="C21" s="1718"/>
      <c r="D21" s="1719"/>
      <c r="E21" s="372"/>
      <c r="F21" s="372"/>
      <c r="G21" s="372"/>
      <c r="H21" s="372"/>
      <c r="I21" s="372"/>
      <c r="J21" s="372"/>
      <c r="K21" s="372"/>
      <c r="L21" s="949"/>
    </row>
    <row r="22" spans="1:13" ht="21" customHeight="1">
      <c r="A22" s="1577"/>
      <c r="B22" s="1718"/>
      <c r="C22" s="1718"/>
      <c r="D22" s="1719"/>
      <c r="E22" s="372"/>
      <c r="F22" s="372"/>
      <c r="G22" s="372"/>
      <c r="H22" s="372"/>
      <c r="I22" s="372"/>
      <c r="J22" s="372"/>
      <c r="K22" s="372"/>
      <c r="L22" s="949"/>
    </row>
    <row r="23" spans="1:13" ht="21" customHeight="1">
      <c r="A23" s="1577"/>
      <c r="B23" s="1718"/>
      <c r="C23" s="1718"/>
      <c r="D23" s="1719"/>
      <c r="E23" s="372"/>
      <c r="F23" s="372"/>
      <c r="G23" s="372"/>
      <c r="H23" s="372"/>
      <c r="I23" s="372"/>
      <c r="J23" s="372"/>
      <c r="K23" s="372"/>
      <c r="L23" s="949"/>
    </row>
    <row r="24" spans="1:13" ht="21" customHeight="1">
      <c r="A24" s="1577"/>
      <c r="B24" s="1718"/>
      <c r="C24" s="1718"/>
      <c r="D24" s="1719"/>
      <c r="E24" s="372"/>
      <c r="F24" s="372"/>
      <c r="G24" s="372"/>
      <c r="H24" s="372"/>
      <c r="I24" s="372"/>
      <c r="J24" s="372"/>
      <c r="K24" s="372"/>
      <c r="L24" s="949"/>
      <c r="M24" s="325"/>
    </row>
    <row r="25" spans="1:13" ht="21" customHeight="1">
      <c r="B25" s="1718"/>
      <c r="C25" s="1718"/>
      <c r="D25" s="1719"/>
      <c r="E25" s="372"/>
      <c r="F25" s="372"/>
      <c r="G25" s="372"/>
      <c r="H25" s="372"/>
      <c r="I25" s="372"/>
      <c r="J25" s="372"/>
      <c r="K25" s="372"/>
      <c r="L25" s="949"/>
    </row>
    <row r="26" spans="1:13" ht="21" customHeight="1">
      <c r="B26" s="1718"/>
      <c r="C26" s="1718"/>
      <c r="D26" s="1719"/>
      <c r="E26" s="372"/>
      <c r="F26" s="372"/>
      <c r="G26" s="372"/>
      <c r="H26" s="372"/>
      <c r="I26" s="372"/>
      <c r="J26" s="372"/>
      <c r="K26" s="372"/>
      <c r="L26" s="949"/>
    </row>
    <row r="27" spans="1:13" ht="21" customHeight="1" thickBot="1">
      <c r="B27" s="147"/>
      <c r="C27" s="323"/>
      <c r="D27" s="75"/>
      <c r="E27" s="218"/>
      <c r="F27" s="218"/>
      <c r="G27" s="218"/>
      <c r="H27" s="218"/>
      <c r="I27" s="218"/>
      <c r="J27" s="218"/>
      <c r="K27" s="218"/>
      <c r="L27" s="226"/>
    </row>
    <row r="28" spans="1:13" ht="21" customHeight="1" thickTop="1" thickBot="1">
      <c r="B28" s="148"/>
      <c r="C28" s="27"/>
      <c r="D28" s="795" t="s">
        <v>3635</v>
      </c>
      <c r="E28" s="219">
        <f t="shared" ref="E28:K28" si="0">SUM(E9:E27)</f>
        <v>1000977.34</v>
      </c>
      <c r="F28" s="219">
        <f>SUM(F9:F27)</f>
        <v>1180232.79</v>
      </c>
      <c r="G28" s="219">
        <f t="shared" si="0"/>
        <v>1703000</v>
      </c>
      <c r="H28" s="219">
        <f t="shared" si="0"/>
        <v>1714586.04</v>
      </c>
      <c r="I28" s="219">
        <f t="shared" si="0"/>
        <v>2509145.08</v>
      </c>
      <c r="J28" s="219">
        <f t="shared" si="0"/>
        <v>0</v>
      </c>
      <c r="K28" s="219">
        <f t="shared" si="0"/>
        <v>1369043.0199999998</v>
      </c>
      <c r="L28" s="227">
        <f>SUM(L9:L27)</f>
        <v>1720608.0699999998</v>
      </c>
    </row>
    <row r="29" spans="1:13" ht="13.5" customHeight="1" thickTop="1">
      <c r="B29" s="154"/>
      <c r="C29" s="44" t="s">
        <v>663</v>
      </c>
      <c r="D29" s="152"/>
      <c r="E29" s="286"/>
      <c r="F29" s="286"/>
      <c r="G29" s="286"/>
      <c r="H29" s="286"/>
      <c r="I29" s="286"/>
      <c r="J29" s="286"/>
      <c r="K29" s="755"/>
      <c r="L29" s="755"/>
    </row>
    <row r="30" spans="1:13">
      <c r="K30" s="325"/>
      <c r="L30" s="287"/>
    </row>
    <row r="33" spans="5:12">
      <c r="E33" s="325"/>
      <c r="F33" s="325"/>
    </row>
    <row r="34" spans="5:12">
      <c r="K34" s="325"/>
      <c r="L34" s="325"/>
    </row>
    <row r="35" spans="5:12">
      <c r="L35" s="325"/>
    </row>
    <row r="36" spans="5:12">
      <c r="L36" s="325"/>
    </row>
    <row r="38" spans="5:12">
      <c r="L38" s="325"/>
    </row>
  </sheetData>
  <customSheetViews>
    <customSheetView guid="{AC653BD0-46E3-42CB-9C76-32121A57B65A}">
      <selection activeCell="H10" sqref="H10"/>
      <pageMargins left="0.25" right="0.25" top="0.5" bottom="0.5" header="0.25" footer="0.25"/>
      <pageSetup paperSize="5" orientation="landscape" r:id="rId1"/>
      <headerFooter alignWithMargins="0"/>
    </customSheetView>
    <customSheetView guid="{B165479B-DC25-403C-9595-F1A88A4AA9A2}">
      <selection activeCell="H10" sqref="H10"/>
      <pageMargins left="0.25" right="0.25" top="0.5" bottom="0.5" header="0.25" footer="0.25"/>
      <pageSetup paperSize="5" orientation="landscape" r:id="rId2"/>
      <headerFooter alignWithMargins="0"/>
    </customSheetView>
    <customSheetView guid="{A64E4C9E-A3DA-4AAA-8607-F524450B9436}">
      <selection activeCell="H10" sqref="H10"/>
      <pageMargins left="0.25" right="0.25" top="0.5" bottom="0.5" header="0.25" footer="0.25"/>
      <pageSetup paperSize="5" orientation="landscape" r:id="rId3"/>
      <headerFooter alignWithMargins="0"/>
    </customSheetView>
    <customSheetView guid="{AB4FBD91-4533-473A-9702-569FF6402073}">
      <selection activeCell="H10" sqref="H10"/>
      <pageMargins left="0.25" right="0.25" top="0.5" bottom="0.5" header="0.25" footer="0.25"/>
      <pageSetup paperSize="5" orientation="landscape" r:id="rId4"/>
      <headerFooter alignWithMargins="0"/>
    </customSheetView>
  </customSheetViews>
  <mergeCells count="25">
    <mergeCell ref="B7:D7"/>
    <mergeCell ref="A12:A24"/>
    <mergeCell ref="B2:L2"/>
    <mergeCell ref="B3:L3"/>
    <mergeCell ref="E4:F6"/>
    <mergeCell ref="K4:L6"/>
    <mergeCell ref="B5:D5"/>
    <mergeCell ref="B6:D6"/>
    <mergeCell ref="B10:D10"/>
    <mergeCell ref="B11:D11"/>
    <mergeCell ref="B12:D12"/>
    <mergeCell ref="B13:D13"/>
    <mergeCell ref="B14:D14"/>
    <mergeCell ref="B15:D15"/>
    <mergeCell ref="B16:D16"/>
    <mergeCell ref="B17:D17"/>
    <mergeCell ref="B23:D23"/>
    <mergeCell ref="B24:D24"/>
    <mergeCell ref="B25:D25"/>
    <mergeCell ref="B26:D26"/>
    <mergeCell ref="B18:D18"/>
    <mergeCell ref="B19:D19"/>
    <mergeCell ref="B20:D20"/>
    <mergeCell ref="B21:D21"/>
    <mergeCell ref="B22:D22"/>
  </mergeCells>
  <pageMargins left="0.25" right="0.25" top="0.5" bottom="0.5" header="0.25" footer="0.25"/>
  <pageSetup paperSize="5" scale="60" orientation="portrait" r:id="rId5"/>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0">
    <pageSetUpPr fitToPage="1"/>
  </sheetPr>
  <dimension ref="B1:S54"/>
  <sheetViews>
    <sheetView topLeftCell="A28" workbookViewId="0">
      <selection activeCell="B3" sqref="B3:O3"/>
    </sheetView>
  </sheetViews>
  <sheetFormatPr defaultRowHeight="13.2"/>
  <cols>
    <col min="1" max="4" width="4.6640625" customWidth="1"/>
    <col min="7" max="7" width="14.44140625" customWidth="1"/>
    <col min="8" max="8" width="15" customWidth="1"/>
    <col min="9" max="10" width="16.6640625" customWidth="1"/>
    <col min="11" max="11" width="11.109375" bestFit="1" customWidth="1"/>
  </cols>
  <sheetData>
    <row r="1" spans="2:19">
      <c r="B1" s="322"/>
      <c r="C1" s="322"/>
      <c r="D1" s="322"/>
      <c r="E1" s="322"/>
      <c r="F1" s="322"/>
      <c r="G1" s="322"/>
      <c r="H1" s="322"/>
      <c r="I1" s="322"/>
      <c r="J1" s="322"/>
    </row>
    <row r="2" spans="2:19">
      <c r="B2" s="322"/>
      <c r="C2" s="322"/>
      <c r="D2" s="322"/>
      <c r="E2" s="322"/>
      <c r="F2" s="322"/>
      <c r="G2" s="322"/>
      <c r="H2" s="322"/>
      <c r="I2" s="322"/>
      <c r="J2" s="322"/>
    </row>
    <row r="3" spans="2:19" ht="22.8">
      <c r="B3" s="1549" t="s">
        <v>666</v>
      </c>
      <c r="C3" s="1549"/>
      <c r="D3" s="1549"/>
      <c r="E3" s="1549"/>
      <c r="F3" s="1549"/>
      <c r="G3" s="1549"/>
      <c r="H3" s="1549"/>
      <c r="I3" s="1549"/>
      <c r="J3" s="1549"/>
    </row>
    <row r="4" spans="2:19">
      <c r="B4" s="322"/>
      <c r="C4" s="322"/>
      <c r="D4" s="322"/>
      <c r="E4" s="322"/>
      <c r="F4" s="322"/>
      <c r="G4" s="322"/>
      <c r="H4" s="322"/>
      <c r="I4" s="322"/>
      <c r="J4" s="322"/>
    </row>
    <row r="5" spans="2:19" ht="15.6">
      <c r="B5" s="1509" t="s">
        <v>667</v>
      </c>
      <c r="C5" s="1509"/>
      <c r="D5" s="1509"/>
      <c r="E5" s="1509"/>
      <c r="F5" s="1509"/>
      <c r="G5" s="1509"/>
      <c r="H5" s="1509"/>
      <c r="I5" s="1509"/>
      <c r="J5" s="1509"/>
    </row>
    <row r="6" spans="2:19" ht="13.8" thickBot="1">
      <c r="B6" s="322"/>
      <c r="C6" s="322"/>
      <c r="D6" s="322"/>
      <c r="E6" s="322"/>
      <c r="F6" s="322"/>
      <c r="G6" s="322"/>
      <c r="H6" s="322"/>
      <c r="I6" s="322"/>
      <c r="J6" s="322"/>
    </row>
    <row r="7" spans="2:19" ht="28.5" customHeight="1" thickTop="1" thickBot="1">
      <c r="B7" s="61"/>
      <c r="C7" s="61"/>
      <c r="D7" s="61"/>
      <c r="E7" s="61"/>
      <c r="F7" s="61"/>
      <c r="G7" s="61"/>
      <c r="H7" s="61"/>
      <c r="I7" s="4" t="s">
        <v>125</v>
      </c>
      <c r="J7" s="992" t="s">
        <v>126</v>
      </c>
    </row>
    <row r="8" spans="2:19" ht="21" customHeight="1" thickTop="1">
      <c r="B8" s="283" t="str">
        <f>'KEY INPUTS'!D25</f>
        <v>Balance - January 1, 2019</v>
      </c>
      <c r="C8" s="283"/>
      <c r="D8" s="283"/>
      <c r="E8" s="283"/>
      <c r="F8" s="283"/>
      <c r="G8" s="283"/>
      <c r="H8" s="50" t="s">
        <v>230</v>
      </c>
      <c r="I8" s="145" t="s">
        <v>787</v>
      </c>
      <c r="J8" s="925">
        <v>285366.71999999997</v>
      </c>
      <c r="K8" s="325"/>
    </row>
    <row r="9" spans="2:19" ht="21" customHeight="1">
      <c r="B9" s="323" t="str">
        <f>"Received from "&amp;TEXT('KEY INPUTS'!D34,"0")&amp;" Budget Appropriation *"</f>
        <v>Received from 2019 Budget Appropriation *</v>
      </c>
      <c r="C9" s="323"/>
      <c r="D9" s="323"/>
      <c r="E9" s="323"/>
      <c r="F9" s="323"/>
      <c r="G9" s="323"/>
      <c r="H9" s="49" t="s">
        <v>231</v>
      </c>
      <c r="I9" s="146" t="s">
        <v>787</v>
      </c>
      <c r="J9" s="580">
        <v>260000</v>
      </c>
    </row>
    <row r="10" spans="2:19" ht="21" customHeight="1">
      <c r="B10" s="567" t="s">
        <v>3918</v>
      </c>
      <c r="C10" s="566"/>
      <c r="D10" s="566"/>
      <c r="E10" s="566"/>
      <c r="F10" s="566"/>
      <c r="G10" s="566"/>
      <c r="H10" s="566"/>
      <c r="I10" s="146" t="s">
        <v>787</v>
      </c>
      <c r="J10" s="578">
        <v>10000</v>
      </c>
    </row>
    <row r="11" spans="2:19" ht="11.25" customHeight="1">
      <c r="B11" s="32" t="s">
        <v>224</v>
      </c>
      <c r="C11" s="7"/>
      <c r="D11" s="7"/>
      <c r="E11" s="7"/>
      <c r="F11" s="7"/>
      <c r="G11" s="7"/>
      <c r="H11" s="83"/>
      <c r="I11" s="1749" t="s">
        <v>787</v>
      </c>
      <c r="J11" s="1747"/>
      <c r="M11" s="322"/>
      <c r="N11" s="322"/>
      <c r="O11" s="322"/>
      <c r="P11" s="322"/>
      <c r="Q11" s="322"/>
      <c r="R11" s="322"/>
      <c r="S11" s="322"/>
    </row>
    <row r="12" spans="2:19" ht="12.75" customHeight="1">
      <c r="B12" s="284"/>
      <c r="C12" s="33" t="s">
        <v>225</v>
      </c>
      <c r="D12" s="284"/>
      <c r="E12" s="284"/>
      <c r="F12" s="284"/>
      <c r="G12" s="284"/>
      <c r="H12" s="53" t="s">
        <v>232</v>
      </c>
      <c r="I12" s="1750"/>
      <c r="J12" s="1748"/>
      <c r="M12" s="322"/>
      <c r="N12" s="322"/>
      <c r="O12" s="322"/>
      <c r="P12" s="322"/>
      <c r="Q12" s="322"/>
      <c r="R12" s="322"/>
      <c r="S12" s="322"/>
    </row>
    <row r="13" spans="2:19" ht="21" customHeight="1">
      <c r="B13" s="375"/>
      <c r="C13" s="1100"/>
      <c r="D13" s="375"/>
      <c r="E13" s="375"/>
      <c r="F13" s="375"/>
      <c r="G13" s="375"/>
      <c r="H13" s="375"/>
      <c r="I13" s="972"/>
      <c r="J13" s="580"/>
      <c r="M13" s="377"/>
      <c r="N13" s="322"/>
      <c r="O13" s="322"/>
      <c r="P13" s="322"/>
      <c r="Q13" s="322"/>
      <c r="R13" s="322"/>
      <c r="S13" s="322"/>
    </row>
    <row r="14" spans="2:19" ht="21" customHeight="1">
      <c r="B14" s="323" t="s">
        <v>226</v>
      </c>
      <c r="C14" s="323"/>
      <c r="D14" s="323"/>
      <c r="E14" s="323"/>
      <c r="F14" s="323"/>
      <c r="G14" s="323"/>
      <c r="H14" s="323"/>
      <c r="I14" s="146" t="s">
        <v>787</v>
      </c>
      <c r="J14" s="127" t="s">
        <v>787</v>
      </c>
      <c r="M14" s="322"/>
      <c r="N14" s="322"/>
      <c r="O14" s="322"/>
      <c r="P14" s="322"/>
      <c r="Q14" s="322"/>
      <c r="R14" s="322"/>
      <c r="S14" s="322"/>
    </row>
    <row r="15" spans="2:19" ht="21" customHeight="1">
      <c r="B15" s="566"/>
      <c r="C15" s="567" t="s">
        <v>3910</v>
      </c>
      <c r="D15" s="566"/>
      <c r="E15" s="566"/>
      <c r="F15" s="566"/>
      <c r="G15" s="566"/>
      <c r="H15" s="566"/>
      <c r="I15" s="374">
        <v>50000</v>
      </c>
      <c r="J15" s="127" t="s">
        <v>787</v>
      </c>
      <c r="M15" s="322"/>
      <c r="N15" s="322"/>
      <c r="O15" s="322"/>
      <c r="P15" s="322"/>
      <c r="Q15" s="322"/>
      <c r="R15" s="322"/>
      <c r="S15" s="322"/>
    </row>
    <row r="16" spans="2:19" ht="21" customHeight="1">
      <c r="B16" s="566"/>
      <c r="C16" s="567" t="s">
        <v>3911</v>
      </c>
      <c r="D16" s="566"/>
      <c r="E16" s="566"/>
      <c r="F16" s="566"/>
      <c r="G16" s="566"/>
      <c r="H16" s="566"/>
      <c r="I16" s="374">
        <v>85500</v>
      </c>
      <c r="J16" s="127" t="s">
        <v>787</v>
      </c>
      <c r="M16" s="322"/>
      <c r="N16" s="322"/>
      <c r="O16" s="322"/>
      <c r="P16" s="322"/>
      <c r="Q16" s="322"/>
      <c r="R16" s="322"/>
      <c r="S16" s="322"/>
    </row>
    <row r="17" spans="2:19" ht="21" customHeight="1">
      <c r="B17" s="566"/>
      <c r="C17" s="566"/>
      <c r="D17" s="566"/>
      <c r="E17" s="566"/>
      <c r="F17" s="566"/>
      <c r="G17" s="566"/>
      <c r="H17" s="566"/>
      <c r="I17" s="374"/>
      <c r="J17" s="127" t="s">
        <v>787</v>
      </c>
      <c r="M17" s="322"/>
      <c r="N17" s="322"/>
      <c r="O17" s="322"/>
      <c r="P17" s="322"/>
      <c r="Q17" s="322"/>
      <c r="R17" s="322"/>
      <c r="S17" s="322"/>
    </row>
    <row r="18" spans="2:19" ht="21" customHeight="1">
      <c r="B18" s="566"/>
      <c r="C18" s="566"/>
      <c r="D18" s="566"/>
      <c r="E18" s="566"/>
      <c r="F18" s="566"/>
      <c r="G18" s="566"/>
      <c r="H18" s="566"/>
      <c r="I18" s="374"/>
      <c r="J18" s="127" t="s">
        <v>787</v>
      </c>
      <c r="M18" s="322"/>
      <c r="N18" s="322"/>
      <c r="O18" s="322"/>
      <c r="P18" s="322"/>
      <c r="Q18" s="322"/>
      <c r="R18" s="322"/>
      <c r="S18" s="322"/>
    </row>
    <row r="19" spans="2:19" ht="21" customHeight="1">
      <c r="B19" s="566"/>
      <c r="C19" s="566"/>
      <c r="D19" s="566"/>
      <c r="E19" s="566"/>
      <c r="F19" s="566"/>
      <c r="G19" s="566"/>
      <c r="H19" s="566"/>
      <c r="I19" s="374"/>
      <c r="J19" s="127" t="s">
        <v>787</v>
      </c>
      <c r="M19" s="322"/>
      <c r="N19" s="322"/>
      <c r="O19" s="322"/>
      <c r="P19" s="322"/>
      <c r="Q19" s="322"/>
      <c r="R19" s="322"/>
      <c r="S19" s="322"/>
    </row>
    <row r="20" spans="2:19" ht="21" customHeight="1">
      <c r="B20" s="566"/>
      <c r="C20" s="566"/>
      <c r="D20" s="566"/>
      <c r="E20" s="566"/>
      <c r="F20" s="566"/>
      <c r="G20" s="566"/>
      <c r="H20" s="566"/>
      <c r="I20" s="374"/>
      <c r="J20" s="127" t="s">
        <v>787</v>
      </c>
      <c r="M20" s="322"/>
      <c r="N20" s="322"/>
      <c r="O20" s="322"/>
      <c r="P20" s="322"/>
      <c r="Q20" s="322"/>
      <c r="R20" s="322"/>
      <c r="S20" s="322"/>
    </row>
    <row r="21" spans="2:19" ht="21" customHeight="1">
      <c r="B21" s="566"/>
      <c r="C21" s="566"/>
      <c r="D21" s="566"/>
      <c r="E21" s="566"/>
      <c r="F21" s="566"/>
      <c r="G21" s="566"/>
      <c r="H21" s="566"/>
      <c r="I21" s="374"/>
      <c r="J21" s="127" t="s">
        <v>787</v>
      </c>
      <c r="M21" s="322"/>
      <c r="N21" s="322"/>
      <c r="O21" s="322"/>
      <c r="P21" s="322"/>
      <c r="Q21" s="322"/>
      <c r="R21" s="322"/>
      <c r="S21" s="322"/>
    </row>
    <row r="22" spans="2:19" ht="21" customHeight="1">
      <c r="B22" s="566"/>
      <c r="C22" s="566"/>
      <c r="D22" s="566"/>
      <c r="E22" s="566"/>
      <c r="F22" s="566"/>
      <c r="G22" s="566"/>
      <c r="H22" s="566"/>
      <c r="I22" s="374"/>
      <c r="J22" s="127" t="s">
        <v>787</v>
      </c>
      <c r="M22" s="322"/>
      <c r="N22" s="322"/>
      <c r="O22" s="322"/>
      <c r="P22" s="322"/>
      <c r="Q22" s="322"/>
      <c r="R22" s="322"/>
      <c r="S22" s="322"/>
    </row>
    <row r="23" spans="2:19" ht="21" customHeight="1">
      <c r="B23" s="566"/>
      <c r="C23" s="566"/>
      <c r="D23" s="566"/>
      <c r="E23" s="566"/>
      <c r="F23" s="566"/>
      <c r="G23" s="566"/>
      <c r="H23" s="566"/>
      <c r="I23" s="374"/>
      <c r="J23" s="127" t="s">
        <v>787</v>
      </c>
      <c r="M23" s="322"/>
      <c r="N23" s="322"/>
      <c r="O23" s="322"/>
      <c r="P23" s="322"/>
      <c r="Q23" s="322"/>
      <c r="R23" s="322"/>
      <c r="S23" s="322"/>
    </row>
    <row r="24" spans="2:19" ht="21" customHeight="1">
      <c r="B24" s="566"/>
      <c r="C24" s="566"/>
      <c r="D24" s="566"/>
      <c r="E24" s="566"/>
      <c r="F24" s="566"/>
      <c r="G24" s="566"/>
      <c r="H24" s="566"/>
      <c r="I24" s="374"/>
      <c r="J24" s="127" t="s">
        <v>787</v>
      </c>
      <c r="M24" s="322"/>
      <c r="N24" s="322"/>
      <c r="O24" s="322"/>
      <c r="P24" s="322"/>
      <c r="Q24" s="322"/>
      <c r="R24" s="322"/>
      <c r="S24" s="322"/>
    </row>
    <row r="25" spans="2:19" ht="21" customHeight="1">
      <c r="B25" s="566"/>
      <c r="C25" s="566"/>
      <c r="D25" s="566"/>
      <c r="E25" s="566"/>
      <c r="F25" s="566"/>
      <c r="G25" s="566"/>
      <c r="H25" s="566"/>
      <c r="I25" s="374"/>
      <c r="J25" s="127" t="s">
        <v>787</v>
      </c>
      <c r="M25" s="322"/>
      <c r="N25" s="322"/>
      <c r="O25" s="322"/>
      <c r="P25" s="322"/>
      <c r="Q25" s="322"/>
      <c r="R25" s="322"/>
      <c r="S25" s="322"/>
    </row>
    <row r="26" spans="2:19" ht="21" customHeight="1">
      <c r="B26" s="566"/>
      <c r="C26" s="566"/>
      <c r="D26" s="566"/>
      <c r="E26" s="566"/>
      <c r="F26" s="566"/>
      <c r="G26" s="566"/>
      <c r="H26" s="566"/>
      <c r="I26" s="374"/>
      <c r="J26" s="127" t="s">
        <v>787</v>
      </c>
      <c r="M26" s="322"/>
      <c r="N26" s="322"/>
      <c r="O26" s="322"/>
      <c r="P26" s="322"/>
      <c r="Q26" s="322"/>
      <c r="R26" s="322"/>
      <c r="S26" s="322"/>
    </row>
    <row r="27" spans="2:19" ht="21" customHeight="1">
      <c r="B27" s="566"/>
      <c r="C27" s="566"/>
      <c r="D27" s="566"/>
      <c r="E27" s="566"/>
      <c r="F27" s="566"/>
      <c r="G27" s="566"/>
      <c r="H27" s="566"/>
      <c r="I27" s="374"/>
      <c r="J27" s="127" t="s">
        <v>787</v>
      </c>
      <c r="M27" s="322"/>
      <c r="N27" s="322"/>
      <c r="O27" s="322"/>
      <c r="P27" s="322"/>
      <c r="Q27" s="322"/>
      <c r="R27" s="322"/>
      <c r="S27" s="322"/>
    </row>
    <row r="28" spans="2:19" ht="21" customHeight="1">
      <c r="B28" s="566"/>
      <c r="C28" s="566"/>
      <c r="D28" s="566"/>
      <c r="E28" s="566"/>
      <c r="F28" s="566"/>
      <c r="G28" s="566"/>
      <c r="H28" s="566"/>
      <c r="I28" s="374"/>
      <c r="J28" s="127" t="s">
        <v>787</v>
      </c>
    </row>
    <row r="29" spans="2:19" ht="21" customHeight="1">
      <c r="B29" s="323" t="s">
        <v>229</v>
      </c>
      <c r="C29" s="323"/>
      <c r="D29" s="323"/>
      <c r="E29" s="323"/>
      <c r="F29" s="323"/>
      <c r="G29" s="323"/>
      <c r="H29" s="49" t="s">
        <v>228</v>
      </c>
      <c r="I29" s="374"/>
      <c r="J29" s="127" t="s">
        <v>787</v>
      </c>
    </row>
    <row r="30" spans="2:19" ht="21" customHeight="1">
      <c r="B30" s="323"/>
      <c r="C30" s="323"/>
      <c r="D30" s="323"/>
      <c r="E30" s="323"/>
      <c r="F30" s="323"/>
      <c r="G30" s="323"/>
      <c r="H30" s="323"/>
      <c r="I30" s="68"/>
      <c r="J30" s="127" t="s">
        <v>787</v>
      </c>
    </row>
    <row r="31" spans="2:19" ht="21" customHeight="1" thickBot="1">
      <c r="B31" s="323" t="str">
        <f>'KEY INPUTS'!D26</f>
        <v>Balance - December 31, 2019</v>
      </c>
      <c r="C31" s="323"/>
      <c r="D31" s="323"/>
      <c r="E31" s="323"/>
      <c r="F31" s="323"/>
      <c r="G31" s="323"/>
      <c r="H31" s="49" t="s">
        <v>227</v>
      </c>
      <c r="I31" s="70">
        <f>+SUM(J8:J13)-SUM(I13:I30)</f>
        <v>419866.72</v>
      </c>
      <c r="J31" s="159" t="s">
        <v>787</v>
      </c>
      <c r="K31" s="228"/>
    </row>
    <row r="32" spans="2:19" ht="21" customHeight="1" thickTop="1" thickBot="1">
      <c r="B32" s="322"/>
      <c r="C32" s="322"/>
      <c r="D32" s="322"/>
      <c r="E32" s="322"/>
      <c r="F32" s="322"/>
      <c r="G32" s="322"/>
      <c r="H32" s="322"/>
      <c r="I32" s="71">
        <f>SUM(I8:I31)</f>
        <v>555366.72</v>
      </c>
      <c r="J32" s="72">
        <f>SUM(J8:J31)</f>
        <v>555366.72</v>
      </c>
      <c r="L32" s="228"/>
    </row>
    <row r="33" spans="2:11" ht="13.8" thickTop="1"/>
    <row r="34" spans="2:11">
      <c r="K34" s="228"/>
    </row>
    <row r="37" spans="2:11">
      <c r="B37" t="str">
        <f>"*The full amount of the "&amp;TEXT('KEY INPUTS'!D34,"0")&amp;" budget appropriation should be transferred to this account unless the balance of the"</f>
        <v>*The full amount of the 2019 budget appropriation should be transferred to this account unless the balance of the</v>
      </c>
    </row>
    <row r="38" spans="2:11">
      <c r="B38" t="s">
        <v>233</v>
      </c>
    </row>
    <row r="54" spans="2:10" ht="13.8">
      <c r="B54" s="1507" t="s">
        <v>223</v>
      </c>
      <c r="C54" s="1507"/>
      <c r="D54" s="1507"/>
      <c r="E54" s="1507"/>
      <c r="F54" s="1507"/>
      <c r="G54" s="1507"/>
      <c r="H54" s="1507"/>
      <c r="I54" s="1507"/>
      <c r="J54" s="1507"/>
    </row>
  </sheetData>
  <sheetProtection algorithmName="SHA-512" hashValue="Pz8ot/hAkWIn182lcV4KG+tLYZkN3gSfVIfkvqwbBlOBA8b0Z2C2HKj3le7upXqf1/Hcr9wx+MQkDiEiJwZFPQ==" saltValue="m6/JWEB1fvqP9duw9ie0sA==" spinCount="100000" sheet="1" objects="1" scenarios="1"/>
  <customSheetViews>
    <customSheetView guid="{AC653BD0-46E3-42CB-9C76-32121A57B65A}" topLeftCell="A13">
      <selection activeCell="I29" sqref="I29"/>
      <pageMargins left="0.25" right="0.25" top="0.5" bottom="0.5" header="0.25" footer="0.25"/>
      <pageSetup paperSize="5" orientation="portrait" r:id="rId1"/>
      <headerFooter alignWithMargins="0"/>
    </customSheetView>
    <customSheetView guid="{B165479B-DC25-403C-9595-F1A88A4AA9A2}">
      <selection activeCell="J11" sqref="J11:J12"/>
      <pageMargins left="0.25" right="0.25" top="0.5" bottom="0.5" header="0.25" footer="0.25"/>
      <pageSetup paperSize="5" orientation="portrait" r:id="rId2"/>
      <headerFooter alignWithMargins="0"/>
    </customSheetView>
    <customSheetView guid="{A64E4C9E-A3DA-4AAA-8607-F524450B9436}">
      <selection activeCell="J11" sqref="J11:J12"/>
      <pageMargins left="0.25" right="0.25" top="0.5" bottom="0.5" header="0.25" footer="0.25"/>
      <pageSetup paperSize="5" orientation="portrait" r:id="rId3"/>
      <headerFooter alignWithMargins="0"/>
    </customSheetView>
    <customSheetView guid="{AB4FBD91-4533-473A-9702-569FF6402073}">
      <selection activeCell="J11" sqref="J11:J12"/>
      <pageMargins left="0.25" right="0.25" top="0.5" bottom="0.5" header="0.25" footer="0.25"/>
      <pageSetup paperSize="5" orientation="portrait" r:id="rId4"/>
      <headerFooter alignWithMargins="0"/>
    </customSheetView>
  </customSheetViews>
  <mergeCells count="5">
    <mergeCell ref="B3:J3"/>
    <mergeCell ref="B5:J5"/>
    <mergeCell ref="B54:J54"/>
    <mergeCell ref="J11:J12"/>
    <mergeCell ref="I11:I12"/>
  </mergeCells>
  <phoneticPr fontId="0" type="noConversion"/>
  <pageMargins left="0.25" right="0.25" top="0.5" bottom="0.5" header="0.25" footer="0.25"/>
  <pageSetup paperSize="5" orientation="portrait" r:id="rId5"/>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1">
    <pageSetUpPr fitToPage="1"/>
  </sheetPr>
  <dimension ref="B3:T55"/>
  <sheetViews>
    <sheetView topLeftCell="A19" workbookViewId="0">
      <selection activeCell="B3" sqref="B3:O3"/>
    </sheetView>
  </sheetViews>
  <sheetFormatPr defaultRowHeight="13.2"/>
  <cols>
    <col min="1" max="1" width="4.6640625" customWidth="1"/>
    <col min="2" max="2" width="6.6640625" customWidth="1"/>
    <col min="3" max="4" width="4.6640625" customWidth="1"/>
    <col min="6" max="6" width="6.6640625" customWidth="1"/>
    <col min="7" max="10" width="16.6640625" customWidth="1"/>
  </cols>
  <sheetData>
    <row r="3" spans="2:20" ht="22.8">
      <c r="B3" s="1549" t="s">
        <v>666</v>
      </c>
      <c r="C3" s="1549"/>
      <c r="D3" s="1549"/>
      <c r="E3" s="1549"/>
      <c r="F3" s="1549"/>
      <c r="G3" s="1549"/>
      <c r="H3" s="1549"/>
      <c r="I3" s="1549"/>
      <c r="J3" s="1549"/>
    </row>
    <row r="5" spans="2:20" ht="15.6">
      <c r="B5" s="1509" t="s">
        <v>234</v>
      </c>
      <c r="C5" s="1509"/>
      <c r="D5" s="1509"/>
      <c r="E5" s="1509"/>
      <c r="F5" s="1509"/>
      <c r="G5" s="1509"/>
      <c r="H5" s="1509"/>
      <c r="I5" s="1509"/>
      <c r="J5" s="1509"/>
    </row>
    <row r="6" spans="2:20" ht="13.8" thickBot="1"/>
    <row r="7" spans="2:20" ht="28.5" customHeight="1" thickTop="1" thickBot="1">
      <c r="B7" s="1044"/>
      <c r="C7" s="1044"/>
      <c r="D7" s="1044"/>
      <c r="E7" s="1044"/>
      <c r="F7" s="1044"/>
      <c r="G7" s="1044"/>
      <c r="H7" s="1044"/>
      <c r="I7" s="967" t="s">
        <v>125</v>
      </c>
      <c r="J7" s="3" t="s">
        <v>126</v>
      </c>
      <c r="N7" s="322"/>
      <c r="O7" s="322"/>
      <c r="P7" s="322"/>
      <c r="Q7" s="322"/>
      <c r="R7" s="322"/>
      <c r="S7" s="322"/>
      <c r="T7" s="322"/>
    </row>
    <row r="8" spans="2:20" ht="21" customHeight="1" thickTop="1">
      <c r="B8" s="381" t="str">
        <f>'KEY INPUTS'!D25</f>
        <v>Balance - January 1, 2019</v>
      </c>
      <c r="C8" s="381"/>
      <c r="D8" s="381"/>
      <c r="E8" s="381"/>
      <c r="F8" s="381"/>
      <c r="G8" s="381"/>
      <c r="H8" s="1102" t="s">
        <v>235</v>
      </c>
      <c r="I8" s="1088" t="s">
        <v>787</v>
      </c>
      <c r="J8" s="641"/>
      <c r="N8" s="322"/>
      <c r="O8" s="322"/>
      <c r="P8" s="322"/>
      <c r="Q8" s="322"/>
      <c r="R8" s="322"/>
      <c r="S8" s="322"/>
      <c r="T8" s="322"/>
    </row>
    <row r="9" spans="2:20" ht="21" customHeight="1">
      <c r="B9" s="383" t="str">
        <f>"Received from "&amp;TEXT('KEY INPUTS'!D34,"0")&amp;"  Budget Appropriation *"</f>
        <v>Received from 2019  Budget Appropriation *</v>
      </c>
      <c r="C9" s="383"/>
      <c r="D9" s="383"/>
      <c r="E9" s="383"/>
      <c r="F9" s="383"/>
      <c r="G9" s="383"/>
      <c r="H9" s="1103" t="s">
        <v>236</v>
      </c>
      <c r="I9" s="973" t="s">
        <v>787</v>
      </c>
      <c r="J9" s="631"/>
      <c r="N9" s="377"/>
      <c r="O9" s="322"/>
      <c r="P9" s="322"/>
      <c r="Q9" s="322"/>
      <c r="R9" s="322"/>
      <c r="S9" s="322"/>
      <c r="T9" s="322"/>
    </row>
    <row r="10" spans="2:20" ht="21" customHeight="1">
      <c r="B10" s="383" t="str">
        <f>"Received from "&amp;TEXT('KEY INPUTS'!D34,"0")&amp;" Emergency Appropriation *"</f>
        <v>Received from 2019 Emergency Appropriation *</v>
      </c>
      <c r="C10" s="383"/>
      <c r="D10" s="383"/>
      <c r="E10" s="383"/>
      <c r="F10" s="383"/>
      <c r="G10" s="383"/>
      <c r="H10" s="1103" t="s">
        <v>237</v>
      </c>
      <c r="I10" s="973" t="s">
        <v>787</v>
      </c>
      <c r="J10" s="631"/>
      <c r="N10" s="322"/>
      <c r="O10" s="322"/>
      <c r="P10" s="322"/>
      <c r="Q10" s="322"/>
      <c r="R10" s="322"/>
      <c r="S10" s="322"/>
      <c r="T10" s="322"/>
    </row>
    <row r="11" spans="2:20" ht="21" customHeight="1">
      <c r="B11" s="566"/>
      <c r="C11" s="566"/>
      <c r="D11" s="566"/>
      <c r="E11" s="566"/>
      <c r="F11" s="566"/>
      <c r="G11" s="566"/>
      <c r="H11" s="821"/>
      <c r="I11" s="1101"/>
      <c r="J11" s="376"/>
      <c r="N11" s="322"/>
      <c r="O11" s="322"/>
      <c r="P11" s="322"/>
      <c r="Q11" s="322"/>
      <c r="R11" s="322"/>
      <c r="S11" s="322"/>
      <c r="T11" s="322"/>
    </row>
    <row r="12" spans="2:20" ht="21" customHeight="1">
      <c r="B12" s="566"/>
      <c r="C12" s="566"/>
      <c r="D12" s="566"/>
      <c r="E12" s="566"/>
      <c r="F12" s="566"/>
      <c r="G12" s="566"/>
      <c r="H12" s="566"/>
      <c r="I12" s="601"/>
      <c r="J12" s="977" t="s">
        <v>787</v>
      </c>
      <c r="N12" s="322"/>
      <c r="O12" s="322"/>
      <c r="P12" s="322"/>
      <c r="Q12" s="322"/>
      <c r="R12" s="322"/>
      <c r="S12" s="322"/>
      <c r="T12" s="322"/>
    </row>
    <row r="13" spans="2:20" ht="21" customHeight="1">
      <c r="B13" s="383" t="s">
        <v>229</v>
      </c>
      <c r="C13" s="383"/>
      <c r="D13" s="383"/>
      <c r="E13" s="383"/>
      <c r="F13" s="383"/>
      <c r="G13" s="383"/>
      <c r="H13" s="1103" t="s">
        <v>238</v>
      </c>
      <c r="I13" s="1444"/>
      <c r="J13" s="977" t="s">
        <v>787</v>
      </c>
      <c r="N13" s="322"/>
      <c r="O13" s="322"/>
      <c r="P13" s="322"/>
      <c r="Q13" s="322"/>
      <c r="R13" s="322"/>
      <c r="S13" s="322"/>
      <c r="T13" s="322"/>
    </row>
    <row r="14" spans="2:20" ht="21" customHeight="1">
      <c r="B14" s="566"/>
      <c r="C14" s="566"/>
      <c r="D14" s="566"/>
      <c r="E14" s="566"/>
      <c r="F14" s="566"/>
      <c r="G14" s="566"/>
      <c r="H14" s="566"/>
      <c r="I14" s="601"/>
      <c r="J14" s="977" t="s">
        <v>787</v>
      </c>
      <c r="N14" s="322"/>
      <c r="O14" s="322"/>
      <c r="P14" s="322"/>
      <c r="Q14" s="322"/>
      <c r="R14" s="322"/>
      <c r="S14" s="322"/>
      <c r="T14" s="322"/>
    </row>
    <row r="15" spans="2:20" ht="21" customHeight="1" thickBot="1">
      <c r="B15" s="383" t="str">
        <f>'KEY INPUTS'!D26</f>
        <v>Balance - December 31, 2019</v>
      </c>
      <c r="C15" s="383"/>
      <c r="D15" s="383"/>
      <c r="E15" s="383"/>
      <c r="F15" s="383"/>
      <c r="G15" s="383"/>
      <c r="H15" s="1103" t="s">
        <v>239</v>
      </c>
      <c r="I15" s="1106">
        <f>+SUM(J8:J11)-SUM(I11:I14)</f>
        <v>0</v>
      </c>
      <c r="J15" s="1104" t="s">
        <v>787</v>
      </c>
      <c r="N15" s="322"/>
      <c r="O15" s="322"/>
      <c r="P15" s="322"/>
      <c r="Q15" s="322"/>
      <c r="R15" s="322"/>
      <c r="S15" s="322"/>
      <c r="T15" s="322"/>
    </row>
    <row r="16" spans="2:20" ht="21" customHeight="1" thickTop="1" thickBot="1">
      <c r="I16" s="1061">
        <f>SUM(I8:I15)</f>
        <v>0</v>
      </c>
      <c r="J16" s="1107">
        <f>SUM(J8:J15)</f>
        <v>0</v>
      </c>
      <c r="N16" s="322"/>
      <c r="O16" s="322"/>
      <c r="P16" s="322"/>
      <c r="Q16" s="322"/>
      <c r="R16" s="322"/>
      <c r="S16" s="322"/>
      <c r="T16" s="322"/>
    </row>
    <row r="17" spans="2:20" ht="13.8" thickTop="1">
      <c r="N17" s="322"/>
      <c r="O17" s="322"/>
      <c r="P17" s="322"/>
      <c r="Q17" s="322"/>
      <c r="R17" s="322"/>
      <c r="S17" s="322"/>
      <c r="T17" s="322"/>
    </row>
    <row r="18" spans="2:20">
      <c r="N18" s="322"/>
      <c r="O18" s="322"/>
      <c r="P18" s="322"/>
      <c r="Q18" s="322"/>
      <c r="R18" s="322"/>
      <c r="S18" s="322"/>
      <c r="T18" s="322"/>
    </row>
    <row r="19" spans="2:20">
      <c r="C19" s="190" t="str">
        <f>"*The full amount of the "&amp;TEXT('KEY INPUTS'!D34,"0")&amp;" budget appropriation should be transferred to this account unless the balance of the"</f>
        <v>*The full amount of the 2019 budget appropriation should be transferred to this account unless the balance of the</v>
      </c>
      <c r="D19" s="190"/>
      <c r="E19" s="190"/>
      <c r="N19" s="322"/>
      <c r="O19" s="322"/>
      <c r="P19" s="322"/>
      <c r="Q19" s="322"/>
      <c r="R19" s="322"/>
      <c r="S19" s="322"/>
      <c r="T19" s="322"/>
    </row>
    <row r="20" spans="2:20">
      <c r="C20" s="190"/>
      <c r="D20" s="190" t="s">
        <v>233</v>
      </c>
      <c r="E20" s="190"/>
      <c r="N20" s="322"/>
      <c r="O20" s="322"/>
      <c r="P20" s="322"/>
      <c r="Q20" s="322"/>
      <c r="R20" s="322"/>
      <c r="S20" s="322"/>
      <c r="T20" s="322"/>
    </row>
    <row r="21" spans="2:20">
      <c r="D21" s="100"/>
      <c r="E21" s="100"/>
      <c r="N21" s="322"/>
      <c r="O21" s="322"/>
      <c r="P21" s="322"/>
      <c r="Q21" s="322"/>
      <c r="R21" s="322"/>
      <c r="S21" s="322"/>
      <c r="T21" s="322"/>
    </row>
    <row r="22" spans="2:20">
      <c r="D22" s="100"/>
      <c r="E22" s="100"/>
      <c r="N22" s="322"/>
      <c r="O22" s="322"/>
      <c r="P22" s="322"/>
      <c r="Q22" s="322"/>
      <c r="R22" s="322"/>
      <c r="S22" s="322"/>
      <c r="T22" s="322"/>
    </row>
    <row r="23" spans="2:20">
      <c r="D23" s="100"/>
      <c r="E23" s="100"/>
      <c r="N23" s="322"/>
      <c r="O23" s="322"/>
      <c r="P23" s="322"/>
      <c r="Q23" s="322"/>
      <c r="R23" s="322"/>
      <c r="S23" s="322"/>
      <c r="T23" s="322"/>
    </row>
    <row r="24" spans="2:20">
      <c r="D24" s="100"/>
      <c r="E24" s="100"/>
    </row>
    <row r="27" spans="2:20" ht="17.399999999999999">
      <c r="B27" s="1560" t="str">
        <f>"CAPITAL  IMPROVEMENTS  AUTHORIZED  IN  "&amp;TEXT('KEY INPUTS'!D34,"0")</f>
        <v>CAPITAL  IMPROVEMENTS  AUTHORIZED  IN  2019</v>
      </c>
      <c r="C27" s="1560"/>
      <c r="D27" s="1560"/>
      <c r="E27" s="1560"/>
      <c r="F27" s="1560"/>
      <c r="G27" s="1560"/>
      <c r="H27" s="1560"/>
      <c r="I27" s="1560"/>
      <c r="J27" s="1560"/>
    </row>
    <row r="28" spans="2:20" ht="17.399999999999999">
      <c r="B28" s="1560" t="s">
        <v>261</v>
      </c>
      <c r="C28" s="1560"/>
      <c r="D28" s="1560"/>
      <c r="E28" s="1560"/>
      <c r="F28" s="1560"/>
      <c r="G28" s="1560"/>
      <c r="H28" s="1560"/>
      <c r="I28" s="1560"/>
      <c r="J28" s="1560"/>
    </row>
    <row r="29" spans="2:20" ht="13.8" thickBot="1"/>
    <row r="30" spans="2:20" ht="13.8" thickTop="1">
      <c r="B30" s="886"/>
      <c r="C30" s="886"/>
      <c r="D30" s="886"/>
      <c r="E30" s="886"/>
      <c r="F30" s="886"/>
      <c r="G30" s="887"/>
      <c r="H30" s="887"/>
      <c r="I30" s="887"/>
      <c r="J30" s="1074" t="s">
        <v>307</v>
      </c>
    </row>
    <row r="31" spans="2:20">
      <c r="B31" s="853"/>
      <c r="C31" s="1597" t="s">
        <v>532</v>
      </c>
      <c r="D31" s="1597"/>
      <c r="E31" s="1597"/>
      <c r="F31" s="853"/>
      <c r="G31" s="889" t="s">
        <v>533</v>
      </c>
      <c r="H31" s="889" t="s">
        <v>260</v>
      </c>
      <c r="I31" s="889" t="s">
        <v>265</v>
      </c>
      <c r="J31" s="995" t="s">
        <v>308</v>
      </c>
    </row>
    <row r="32" spans="2:20">
      <c r="B32" s="853"/>
      <c r="C32" s="853"/>
      <c r="D32" s="853"/>
      <c r="E32" s="853"/>
      <c r="F32" s="853"/>
      <c r="G32" s="889" t="s">
        <v>263</v>
      </c>
      <c r="H32" s="889" t="s">
        <v>264</v>
      </c>
      <c r="I32" s="889" t="s">
        <v>266</v>
      </c>
      <c r="J32" s="995" t="str">
        <f>"of "&amp;TEXT('KEY INPUTS'!D34,"0")&amp;" or Prior"</f>
        <v>of 2019 or Prior</v>
      </c>
    </row>
    <row r="33" spans="2:11" ht="13.8" thickBot="1">
      <c r="B33" s="895"/>
      <c r="C33" s="895"/>
      <c r="D33" s="895"/>
      <c r="E33" s="895"/>
      <c r="F33" s="895"/>
      <c r="G33" s="897"/>
      <c r="H33" s="897" t="s">
        <v>560</v>
      </c>
      <c r="I33" s="897" t="s">
        <v>306</v>
      </c>
      <c r="J33" s="1076" t="s">
        <v>309</v>
      </c>
    </row>
    <row r="34" spans="2:11" ht="21" customHeight="1" thickTop="1">
      <c r="B34" s="1500" t="s">
        <v>3899</v>
      </c>
      <c r="C34" s="1500"/>
      <c r="D34" s="1501"/>
      <c r="E34" s="569"/>
      <c r="F34" s="569"/>
      <c r="G34" s="900">
        <f>+H34+I34+J34</f>
        <v>50000</v>
      </c>
      <c r="H34" s="571"/>
      <c r="I34" s="571">
        <v>50000</v>
      </c>
      <c r="J34" s="638"/>
      <c r="K34" s="731"/>
    </row>
    <row r="35" spans="2:11" ht="21" customHeight="1">
      <c r="B35" s="1500" t="s">
        <v>3900</v>
      </c>
      <c r="C35" s="1500"/>
      <c r="D35" s="1501"/>
      <c r="E35" s="643"/>
      <c r="F35" s="643"/>
      <c r="G35" s="842">
        <f t="shared" ref="G35:G43" si="0">+H35+I35+J35</f>
        <v>1653000</v>
      </c>
      <c r="H35" s="374">
        <v>1245500</v>
      </c>
      <c r="I35" s="374">
        <v>85500</v>
      </c>
      <c r="J35" s="578">
        <v>322000</v>
      </c>
      <c r="K35" s="751"/>
    </row>
    <row r="36" spans="2:11" ht="21" customHeight="1">
      <c r="B36" s="566"/>
      <c r="C36" s="566"/>
      <c r="D36" s="566"/>
      <c r="E36" s="566"/>
      <c r="F36" s="566"/>
      <c r="G36" s="842">
        <f t="shared" si="0"/>
        <v>0</v>
      </c>
      <c r="H36" s="374"/>
      <c r="I36" s="374"/>
      <c r="J36" s="578"/>
    </row>
    <row r="37" spans="2:11" ht="21" customHeight="1">
      <c r="B37" s="644"/>
      <c r="C37" s="566"/>
      <c r="D37" s="566"/>
      <c r="E37" s="566"/>
      <c r="F37" s="566"/>
      <c r="G37" s="842">
        <f t="shared" si="0"/>
        <v>0</v>
      </c>
      <c r="H37" s="374"/>
      <c r="I37" s="374"/>
      <c r="J37" s="578"/>
      <c r="K37" s="248"/>
    </row>
    <row r="38" spans="2:11" ht="21" customHeight="1">
      <c r="B38" s="566"/>
      <c r="C38" s="566"/>
      <c r="D38" s="566"/>
      <c r="E38" s="566"/>
      <c r="F38" s="566"/>
      <c r="G38" s="842">
        <f t="shared" si="0"/>
        <v>0</v>
      </c>
      <c r="H38" s="374"/>
      <c r="I38" s="374"/>
      <c r="J38" s="578"/>
    </row>
    <row r="39" spans="2:11" ht="21" customHeight="1">
      <c r="B39" s="566"/>
      <c r="C39" s="566"/>
      <c r="D39" s="566"/>
      <c r="E39" s="566"/>
      <c r="F39" s="566"/>
      <c r="G39" s="842">
        <f t="shared" si="0"/>
        <v>0</v>
      </c>
      <c r="H39" s="374"/>
      <c r="I39" s="374"/>
      <c r="J39" s="578"/>
      <c r="K39" s="248"/>
    </row>
    <row r="40" spans="2:11" ht="21" customHeight="1">
      <c r="B40" s="566"/>
      <c r="C40" s="566"/>
      <c r="D40" s="566"/>
      <c r="E40" s="566"/>
      <c r="F40" s="566"/>
      <c r="G40" s="842">
        <f t="shared" si="0"/>
        <v>0</v>
      </c>
      <c r="H40" s="374"/>
      <c r="I40" s="374"/>
      <c r="J40" s="578"/>
    </row>
    <row r="41" spans="2:11" ht="21" customHeight="1">
      <c r="B41" s="566"/>
      <c r="C41" s="566"/>
      <c r="D41" s="566"/>
      <c r="E41" s="566"/>
      <c r="F41" s="566"/>
      <c r="G41" s="842">
        <f t="shared" si="0"/>
        <v>0</v>
      </c>
      <c r="H41" s="374"/>
      <c r="I41" s="374"/>
      <c r="J41" s="578"/>
    </row>
    <row r="42" spans="2:11" ht="21" customHeight="1">
      <c r="B42" s="566"/>
      <c r="C42" s="566"/>
      <c r="D42" s="566"/>
      <c r="E42" s="566"/>
      <c r="F42" s="566"/>
      <c r="G42" s="842">
        <f t="shared" si="0"/>
        <v>0</v>
      </c>
      <c r="H42" s="374"/>
      <c r="I42" s="374"/>
      <c r="J42" s="578"/>
    </row>
    <row r="43" spans="2:11" ht="21" customHeight="1" thickBot="1">
      <c r="B43" s="566"/>
      <c r="C43" s="566"/>
      <c r="D43" s="566"/>
      <c r="E43" s="566"/>
      <c r="F43" s="566"/>
      <c r="G43" s="1108">
        <f t="shared" si="0"/>
        <v>0</v>
      </c>
      <c r="H43" s="616"/>
      <c r="I43" s="616"/>
      <c r="J43" s="645"/>
    </row>
    <row r="44" spans="2:11" ht="21" customHeight="1" thickTop="1" thickBot="1">
      <c r="B44" s="895"/>
      <c r="C44" s="895"/>
      <c r="D44" s="895"/>
      <c r="E44" s="895" t="s">
        <v>262</v>
      </c>
      <c r="F44" s="895"/>
      <c r="G44" s="1109">
        <f>SUM(G34:G43)</f>
        <v>1703000</v>
      </c>
      <c r="H44" s="1021">
        <f>SUM(H34:H43)</f>
        <v>1245500</v>
      </c>
      <c r="I44" s="1021">
        <f>SUM(I34:I43)</f>
        <v>135500</v>
      </c>
      <c r="J44" s="1110">
        <f>SUM(J34:J43)</f>
        <v>322000</v>
      </c>
    </row>
    <row r="45" spans="2:11" ht="13.8" thickTop="1"/>
    <row r="46" spans="2:11">
      <c r="C46" s="38" t="s">
        <v>310</v>
      </c>
      <c r="D46" t="s">
        <v>311</v>
      </c>
    </row>
    <row r="47" spans="2:11">
      <c r="D47" t="s">
        <v>192</v>
      </c>
    </row>
    <row r="49" spans="2:10">
      <c r="B49" s="322"/>
    </row>
    <row r="54" spans="2:10" ht="13.8">
      <c r="B54" s="1507" t="s">
        <v>240</v>
      </c>
      <c r="C54" s="1507"/>
      <c r="D54" s="1507"/>
      <c r="E54" s="1507"/>
      <c r="F54" s="1507"/>
      <c r="G54" s="1507"/>
      <c r="H54" s="1507"/>
      <c r="I54" s="1507"/>
      <c r="J54" s="1507"/>
    </row>
    <row r="55" spans="2:10">
      <c r="J55" s="248"/>
    </row>
  </sheetData>
  <sheetProtection algorithmName="SHA-512" hashValue="gXpb5AQl+ATht0S5ESJVwESP9BmrKa/uQnG9Ra1SXYpGvPnBsh95ZN/YNTrY/L3iLValG2oMR/UAdfNZuoHuCw==" saltValue="RfGzjSGpA5YmJDPpNz2lvg==" spinCount="100000" sheet="1" objects="1" scenarios="1"/>
  <customSheetViews>
    <customSheetView guid="{AC653BD0-46E3-42CB-9C76-32121A57B65A}" topLeftCell="A16">
      <selection activeCell="I44" sqref="I44"/>
      <pageMargins left="0.25" right="0.25" top="0.5" bottom="0.5" header="0.25" footer="0.25"/>
      <pageSetup paperSize="5" orientation="portrait" r:id="rId1"/>
      <headerFooter alignWithMargins="0"/>
    </customSheetView>
    <customSheetView guid="{B165479B-DC25-403C-9595-F1A88A4AA9A2}">
      <selection activeCell="Q22" sqref="Q22"/>
      <pageMargins left="0.25" right="0.25" top="0.5" bottom="0.5" header="0.25" footer="0.25"/>
      <pageSetup paperSize="5" orientation="portrait" r:id="rId2"/>
      <headerFooter alignWithMargins="0"/>
    </customSheetView>
    <customSheetView guid="{A64E4C9E-A3DA-4AAA-8607-F524450B9436}">
      <selection activeCell="Q22" sqref="Q22"/>
      <pageMargins left="0.25" right="0.25" top="0.5" bottom="0.5" header="0.25" footer="0.25"/>
      <pageSetup paperSize="5" orientation="portrait" r:id="rId3"/>
      <headerFooter alignWithMargins="0"/>
    </customSheetView>
    <customSheetView guid="{AB4FBD91-4533-473A-9702-569FF6402073}">
      <selection activeCell="G35" sqref="G35"/>
      <pageMargins left="0.25" right="0.25" top="0.5" bottom="0.5" header="0.25" footer="0.25"/>
      <pageSetup paperSize="5" orientation="portrait" r:id="rId4"/>
      <headerFooter alignWithMargins="0"/>
    </customSheetView>
  </customSheetViews>
  <mergeCells count="6">
    <mergeCell ref="B3:J3"/>
    <mergeCell ref="B5:J5"/>
    <mergeCell ref="B54:J54"/>
    <mergeCell ref="B27:J27"/>
    <mergeCell ref="B28:J28"/>
    <mergeCell ref="C31:E31"/>
  </mergeCells>
  <phoneticPr fontId="0" type="noConversion"/>
  <pageMargins left="0.25" right="0.25" top="0.5" bottom="0.5" header="0.25" footer="0.25"/>
  <pageSetup paperSize="5" orientation="portrait" r:id="rId5"/>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2">
    <pageSetUpPr fitToPage="1"/>
  </sheetPr>
  <dimension ref="B3:T62"/>
  <sheetViews>
    <sheetView workbookViewId="0">
      <selection activeCell="B3" sqref="B3:O3"/>
    </sheetView>
  </sheetViews>
  <sheetFormatPr defaultRowHeight="13.2"/>
  <cols>
    <col min="1" max="1" width="4.6640625" customWidth="1"/>
    <col min="2" max="2" width="3.44140625" customWidth="1"/>
    <col min="3" max="4" width="4.6640625" customWidth="1"/>
    <col min="6" max="6" width="9" customWidth="1"/>
    <col min="7" max="10" width="16.6640625" customWidth="1"/>
    <col min="11" max="11" width="4.6640625" bestFit="1" customWidth="1"/>
    <col min="13" max="13" width="10.109375" style="65" bestFit="1" customWidth="1"/>
  </cols>
  <sheetData>
    <row r="3" spans="2:20" ht="22.8">
      <c r="B3" s="1549" t="s">
        <v>666</v>
      </c>
      <c r="C3" s="1549"/>
      <c r="D3" s="1549"/>
      <c r="E3" s="1549"/>
      <c r="F3" s="1549"/>
      <c r="G3" s="1549"/>
      <c r="H3" s="1549"/>
      <c r="I3" s="1549"/>
      <c r="J3" s="1549"/>
    </row>
    <row r="5" spans="2:20" ht="15.6">
      <c r="B5" s="1509" t="s">
        <v>193</v>
      </c>
      <c r="C5" s="1509"/>
      <c r="D5" s="1509"/>
      <c r="E5" s="1509"/>
      <c r="F5" s="1509"/>
      <c r="G5" s="1509"/>
      <c r="H5" s="1509"/>
      <c r="I5" s="1509"/>
      <c r="J5" s="1509"/>
    </row>
    <row r="6" spans="2:20" ht="15.6">
      <c r="B6" s="1751" t="str">
        <f>'KEY INPUTS'!D49</f>
        <v>YEAR  - 2019</v>
      </c>
      <c r="C6" s="1509"/>
      <c r="D6" s="1509"/>
      <c r="E6" s="1509"/>
      <c r="F6" s="1509"/>
      <c r="G6" s="1509"/>
      <c r="H6" s="1509"/>
      <c r="I6" s="1509"/>
      <c r="J6" s="1509"/>
      <c r="N6" s="322"/>
      <c r="O6" s="322"/>
      <c r="P6" s="322"/>
      <c r="Q6" s="322"/>
      <c r="R6" s="322"/>
      <c r="S6" s="322"/>
      <c r="T6" s="322"/>
    </row>
    <row r="7" spans="2:20" ht="13.8" thickBot="1">
      <c r="N7" s="322"/>
      <c r="O7" s="322"/>
      <c r="P7" s="322"/>
      <c r="Q7" s="322"/>
      <c r="R7" s="322"/>
      <c r="S7" s="322"/>
      <c r="T7" s="322"/>
    </row>
    <row r="8" spans="2:20" ht="28.5" customHeight="1" thickTop="1" thickBot="1">
      <c r="B8" s="61"/>
      <c r="C8" s="61"/>
      <c r="D8" s="61"/>
      <c r="E8" s="61"/>
      <c r="F8" s="61"/>
      <c r="G8" s="61"/>
      <c r="H8" s="61"/>
      <c r="I8" s="4" t="s">
        <v>125</v>
      </c>
      <c r="J8" s="3" t="s">
        <v>126</v>
      </c>
      <c r="N8" s="377"/>
      <c r="O8" s="322"/>
      <c r="P8" s="322"/>
      <c r="Q8" s="322"/>
      <c r="R8" s="322"/>
      <c r="S8" s="322"/>
      <c r="T8" s="322"/>
    </row>
    <row r="9" spans="2:20" ht="21" customHeight="1" thickTop="1">
      <c r="B9" s="283" t="str">
        <f>'KEY INPUTS'!D25</f>
        <v>Balance - January 1, 2019</v>
      </c>
      <c r="C9" s="283"/>
      <c r="D9" s="283"/>
      <c r="E9" s="283"/>
      <c r="F9" s="283"/>
      <c r="G9" s="283"/>
      <c r="H9" s="50" t="s">
        <v>194</v>
      </c>
      <c r="I9" s="145" t="s">
        <v>787</v>
      </c>
      <c r="J9" s="641">
        <v>170558.51</v>
      </c>
      <c r="K9" s="228"/>
      <c r="L9" s="325"/>
      <c r="N9" s="322"/>
      <c r="O9" s="322"/>
      <c r="P9" s="322"/>
      <c r="Q9" s="322"/>
      <c r="R9" s="322"/>
      <c r="S9" s="322"/>
      <c r="T9" s="322"/>
    </row>
    <row r="10" spans="2:20" ht="21" customHeight="1">
      <c r="B10" s="323" t="s">
        <v>195</v>
      </c>
      <c r="C10" s="323"/>
      <c r="D10" s="323"/>
      <c r="E10" s="323"/>
      <c r="F10" s="323"/>
      <c r="G10" s="323"/>
      <c r="H10" s="49"/>
      <c r="I10" s="146" t="s">
        <v>787</v>
      </c>
      <c r="J10" s="631"/>
      <c r="N10" s="322"/>
      <c r="O10" s="322"/>
      <c r="P10" s="322"/>
      <c r="Q10" s="322"/>
      <c r="R10" s="322"/>
      <c r="S10" s="322"/>
      <c r="T10" s="322"/>
    </row>
    <row r="11" spans="2:20" ht="21" customHeight="1">
      <c r="B11" s="323" t="s">
        <v>196</v>
      </c>
      <c r="C11" s="323"/>
      <c r="D11" s="323"/>
      <c r="E11" s="323"/>
      <c r="F11" s="323"/>
      <c r="G11" s="323"/>
      <c r="H11" s="49"/>
      <c r="I11" s="146" t="s">
        <v>787</v>
      </c>
      <c r="J11" s="631"/>
      <c r="N11" s="322"/>
      <c r="O11" s="322"/>
      <c r="P11" s="322"/>
      <c r="Q11" s="322"/>
      <c r="R11" s="322"/>
      <c r="S11" s="322"/>
      <c r="T11" s="322"/>
    </row>
    <row r="12" spans="2:20" ht="21" customHeight="1">
      <c r="B12" s="375"/>
      <c r="C12" s="1100"/>
      <c r="D12" s="375"/>
      <c r="E12" s="375"/>
      <c r="F12" s="375"/>
      <c r="G12" s="375"/>
      <c r="H12" s="375"/>
      <c r="I12" s="683"/>
      <c r="J12" s="376"/>
      <c r="N12" s="322"/>
      <c r="O12" s="322"/>
      <c r="P12" s="322"/>
      <c r="Q12" s="322"/>
      <c r="R12" s="322"/>
      <c r="S12" s="322"/>
      <c r="T12" s="322"/>
    </row>
    <row r="13" spans="2:20" ht="21" customHeight="1">
      <c r="B13" s="375"/>
      <c r="C13" s="1100"/>
      <c r="D13" s="375"/>
      <c r="E13" s="375"/>
      <c r="F13" s="375"/>
      <c r="G13" s="375"/>
      <c r="H13" s="375"/>
      <c r="I13" s="683"/>
      <c r="J13" s="376"/>
      <c r="N13" s="322"/>
      <c r="O13" s="322"/>
      <c r="P13" s="322"/>
      <c r="Q13" s="322"/>
      <c r="R13" s="322"/>
      <c r="S13" s="322"/>
      <c r="T13" s="322"/>
    </row>
    <row r="14" spans="2:20" ht="21" customHeight="1">
      <c r="B14" s="566"/>
      <c r="C14" s="566"/>
      <c r="D14" s="566"/>
      <c r="E14" s="566"/>
      <c r="F14" s="566"/>
      <c r="G14" s="566"/>
      <c r="H14" s="566"/>
      <c r="I14" s="601"/>
      <c r="J14" s="1457"/>
      <c r="N14" s="322"/>
      <c r="O14" s="322"/>
      <c r="P14" s="322"/>
      <c r="Q14" s="322"/>
      <c r="R14" s="322"/>
      <c r="S14" s="322"/>
      <c r="T14" s="322"/>
    </row>
    <row r="15" spans="2:20" ht="21" customHeight="1">
      <c r="B15" s="323" t="s">
        <v>229</v>
      </c>
      <c r="C15" s="323"/>
      <c r="D15" s="323"/>
      <c r="E15" s="323"/>
      <c r="F15" s="323"/>
      <c r="G15" s="323"/>
      <c r="H15" s="49" t="s">
        <v>197</v>
      </c>
      <c r="I15" s="601"/>
      <c r="J15" s="127" t="s">
        <v>787</v>
      </c>
      <c r="N15" s="322"/>
      <c r="O15" s="322"/>
      <c r="P15" s="322"/>
      <c r="Q15" s="322"/>
      <c r="R15" s="322"/>
      <c r="S15" s="322"/>
      <c r="T15" s="322"/>
    </row>
    <row r="16" spans="2:20" ht="21" customHeight="1">
      <c r="B16" s="323" t="str">
        <f>"Appropriated to "&amp;TEXT('KEY INPUTS'!D34,"0")&amp;" Budget Revenue"</f>
        <v>Appropriated to 2019 Budget Revenue</v>
      </c>
      <c r="C16" s="323"/>
      <c r="D16" s="323"/>
      <c r="E16" s="323"/>
      <c r="F16" s="323"/>
      <c r="G16" s="323"/>
      <c r="H16" s="49" t="s">
        <v>198</v>
      </c>
      <c r="I16" s="601"/>
      <c r="J16" s="127" t="s">
        <v>787</v>
      </c>
      <c r="N16" s="322"/>
      <c r="O16" s="322"/>
      <c r="P16" s="322"/>
      <c r="Q16" s="322"/>
      <c r="R16" s="322"/>
      <c r="S16" s="322"/>
      <c r="T16" s="322"/>
    </row>
    <row r="17" spans="2:20" ht="21" customHeight="1" thickBot="1">
      <c r="B17" s="323" t="str">
        <f>'KEY INPUTS'!D26</f>
        <v>Balance - December 31, 2019</v>
      </c>
      <c r="C17" s="323"/>
      <c r="D17" s="323"/>
      <c r="E17" s="323"/>
      <c r="F17" s="323"/>
      <c r="G17" s="323"/>
      <c r="H17" s="49" t="s">
        <v>238</v>
      </c>
      <c r="I17" s="153">
        <f>SUM(J9:J14)-SUM(I12:I16)</f>
        <v>170558.51</v>
      </c>
      <c r="J17" s="159" t="s">
        <v>787</v>
      </c>
      <c r="K17" s="228"/>
      <c r="L17" s="228"/>
      <c r="N17" s="322"/>
      <c r="O17" s="322"/>
      <c r="P17" s="322"/>
      <c r="Q17" s="322"/>
      <c r="R17" s="322"/>
      <c r="S17" s="322"/>
      <c r="T17" s="322"/>
    </row>
    <row r="18" spans="2:20" ht="21" customHeight="1" thickTop="1" thickBot="1">
      <c r="I18" s="124">
        <f>SUM(I9:I17)</f>
        <v>170558.51</v>
      </c>
      <c r="J18" s="161">
        <f>SUM(J9:J17)</f>
        <v>170558.51</v>
      </c>
      <c r="N18" s="322"/>
      <c r="O18" s="322"/>
      <c r="P18" s="322"/>
      <c r="Q18" s="322"/>
      <c r="R18" s="322"/>
      <c r="S18" s="322"/>
      <c r="T18" s="322"/>
    </row>
    <row r="19" spans="2:20" ht="13.8" thickTop="1">
      <c r="N19" s="322"/>
      <c r="O19" s="322"/>
      <c r="P19" s="322"/>
      <c r="Q19" s="322"/>
      <c r="R19" s="322"/>
      <c r="S19" s="322"/>
      <c r="T19" s="322"/>
    </row>
    <row r="20" spans="2:20">
      <c r="N20" s="322"/>
      <c r="O20" s="322"/>
      <c r="P20" s="322"/>
      <c r="Q20" s="322"/>
      <c r="R20" s="322"/>
      <c r="S20" s="322"/>
      <c r="T20" s="322"/>
    </row>
    <row r="21" spans="2:20">
      <c r="N21" s="322"/>
      <c r="O21" s="322"/>
      <c r="P21" s="322"/>
      <c r="Q21" s="322"/>
      <c r="R21" s="322"/>
      <c r="S21" s="322"/>
      <c r="T21" s="322"/>
    </row>
    <row r="22" spans="2:20">
      <c r="N22" s="322"/>
      <c r="O22" s="322"/>
      <c r="P22" s="322"/>
      <c r="Q22" s="322"/>
      <c r="R22" s="322"/>
      <c r="S22" s="322"/>
      <c r="T22" s="322"/>
    </row>
    <row r="26" spans="2:20" ht="15.6">
      <c r="B26" s="942"/>
      <c r="C26" s="942"/>
      <c r="D26" s="942"/>
      <c r="E26" s="942"/>
      <c r="F26" s="942"/>
      <c r="G26" s="942"/>
      <c r="H26" s="942"/>
      <c r="I26" s="942"/>
      <c r="J26" s="942"/>
    </row>
    <row r="27" spans="2:20">
      <c r="B27" s="258"/>
      <c r="C27" s="258"/>
      <c r="D27" s="258"/>
      <c r="E27" s="258"/>
      <c r="F27" s="258"/>
      <c r="G27" s="258"/>
      <c r="H27" s="258"/>
      <c r="I27" s="258"/>
      <c r="J27" s="258"/>
    </row>
    <row r="28" spans="2:20">
      <c r="B28" s="258"/>
      <c r="C28" s="258"/>
      <c r="D28" s="258"/>
      <c r="E28" s="258"/>
      <c r="F28" s="258"/>
      <c r="G28" s="258"/>
      <c r="H28" s="258"/>
      <c r="I28" s="258"/>
      <c r="J28" s="258"/>
    </row>
    <row r="29" spans="2:20">
      <c r="B29" s="943"/>
      <c r="C29" s="258"/>
      <c r="D29" s="258"/>
      <c r="E29" s="258"/>
      <c r="F29" s="258"/>
      <c r="G29" s="258"/>
      <c r="H29" s="258"/>
      <c r="I29" s="258"/>
      <c r="J29" s="258"/>
    </row>
    <row r="30" spans="2:20">
      <c r="B30" s="943"/>
      <c r="C30" s="258"/>
      <c r="D30" s="258"/>
      <c r="E30" s="258"/>
      <c r="F30" s="258"/>
      <c r="G30" s="258"/>
      <c r="H30" s="258"/>
      <c r="I30" s="258"/>
      <c r="J30" s="258"/>
    </row>
    <row r="31" spans="2:20">
      <c r="B31" s="943"/>
      <c r="C31" s="258"/>
      <c r="D31" s="258"/>
      <c r="E31" s="258"/>
      <c r="F31" s="258"/>
      <c r="G31" s="258"/>
      <c r="H31" s="258"/>
      <c r="I31" s="258"/>
      <c r="J31" s="258"/>
    </row>
    <row r="32" spans="2:20">
      <c r="B32" s="943"/>
      <c r="C32" s="258"/>
      <c r="D32" s="258"/>
      <c r="E32" s="258"/>
      <c r="F32" s="258"/>
      <c r="G32" s="258"/>
      <c r="H32" s="258"/>
      <c r="I32" s="944"/>
      <c r="J32" s="945"/>
    </row>
    <row r="33" spans="2:10">
      <c r="B33" s="943"/>
      <c r="C33" s="258"/>
      <c r="D33" s="258"/>
      <c r="E33" s="258"/>
      <c r="F33" s="258"/>
      <c r="G33" s="258"/>
      <c r="H33" s="258"/>
      <c r="I33" s="258"/>
      <c r="J33" s="258"/>
    </row>
    <row r="34" spans="2:10">
      <c r="B34" s="943"/>
      <c r="C34" s="258"/>
      <c r="D34" s="258"/>
      <c r="E34" s="258"/>
      <c r="F34" s="258"/>
      <c r="G34" s="258"/>
      <c r="H34" s="258"/>
      <c r="I34" s="944"/>
      <c r="J34" s="945"/>
    </row>
    <row r="35" spans="2:10">
      <c r="B35" s="943"/>
      <c r="C35" s="258"/>
      <c r="D35" s="258"/>
      <c r="E35" s="258"/>
      <c r="F35" s="258"/>
      <c r="G35" s="258"/>
      <c r="H35" s="258"/>
      <c r="I35" s="258"/>
      <c r="J35" s="258"/>
    </row>
    <row r="36" spans="2:10">
      <c r="B36" s="943"/>
      <c r="C36" s="258"/>
      <c r="D36" s="258"/>
      <c r="E36" s="258"/>
      <c r="F36" s="258"/>
      <c r="G36" s="258"/>
      <c r="H36" s="258"/>
      <c r="I36" s="258"/>
      <c r="J36" s="258"/>
    </row>
    <row r="37" spans="2:10">
      <c r="B37" s="943"/>
      <c r="C37" s="258"/>
      <c r="D37" s="258"/>
      <c r="E37" s="258"/>
      <c r="F37" s="258"/>
      <c r="G37" s="258"/>
      <c r="H37" s="944"/>
      <c r="I37" s="945"/>
      <c r="J37" s="258"/>
    </row>
    <row r="38" spans="2:10">
      <c r="B38" s="943"/>
      <c r="C38" s="258"/>
      <c r="D38" s="258"/>
      <c r="E38" s="258"/>
      <c r="F38" s="258"/>
      <c r="G38" s="258"/>
      <c r="H38" s="258"/>
      <c r="I38" s="258"/>
      <c r="J38" s="258"/>
    </row>
    <row r="39" spans="2:10">
      <c r="B39" s="943"/>
      <c r="C39" s="258"/>
      <c r="D39" s="258"/>
      <c r="E39" s="258"/>
      <c r="F39" s="258"/>
      <c r="G39" s="258"/>
      <c r="H39" s="258"/>
      <c r="I39" s="258"/>
      <c r="J39" s="258"/>
    </row>
    <row r="40" spans="2:10">
      <c r="B40" s="943"/>
      <c r="C40" s="258"/>
      <c r="D40" s="258"/>
      <c r="E40" s="258"/>
      <c r="F40" s="258"/>
      <c r="G40" s="258"/>
      <c r="H40" s="944"/>
      <c r="I40" s="945"/>
      <c r="J40" s="258"/>
    </row>
    <row r="41" spans="2:10">
      <c r="B41" s="943"/>
      <c r="C41" s="258"/>
      <c r="D41" s="258"/>
      <c r="E41" s="258"/>
      <c r="F41" s="258"/>
      <c r="G41" s="258"/>
      <c r="H41" s="258"/>
      <c r="I41" s="258"/>
      <c r="J41" s="258"/>
    </row>
    <row r="42" spans="2:10">
      <c r="B42" s="943"/>
      <c r="C42" s="258"/>
      <c r="D42" s="258"/>
      <c r="E42" s="258"/>
      <c r="F42" s="258"/>
      <c r="G42" s="258"/>
      <c r="H42" s="944"/>
      <c r="I42" s="945"/>
      <c r="J42" s="258"/>
    </row>
    <row r="43" spans="2:10">
      <c r="B43" s="943"/>
      <c r="C43" s="258"/>
      <c r="D43" s="258"/>
      <c r="E43" s="258"/>
      <c r="F43" s="258"/>
      <c r="G43" s="258"/>
      <c r="H43" s="258"/>
      <c r="I43" s="258"/>
      <c r="J43" s="258"/>
    </row>
    <row r="44" spans="2:10">
      <c r="B44" s="943"/>
      <c r="C44" s="258"/>
      <c r="D44" s="258"/>
      <c r="E44" s="258"/>
      <c r="F44" s="258"/>
      <c r="G44" s="258"/>
      <c r="H44" s="944"/>
      <c r="I44" s="945"/>
      <c r="J44" s="258"/>
    </row>
    <row r="45" spans="2:10">
      <c r="B45" s="943"/>
      <c r="C45" s="258"/>
      <c r="D45" s="258"/>
      <c r="E45" s="258"/>
      <c r="F45" s="258"/>
      <c r="G45" s="258"/>
      <c r="H45" s="258"/>
      <c r="I45" s="258"/>
      <c r="J45" s="258"/>
    </row>
    <row r="46" spans="2:10">
      <c r="B46" s="943"/>
      <c r="C46" s="258"/>
      <c r="D46" s="258"/>
      <c r="E46" s="258"/>
      <c r="F46" s="258"/>
      <c r="G46" s="258"/>
      <c r="H46" s="258"/>
      <c r="I46" s="944"/>
      <c r="J46" s="945"/>
    </row>
    <row r="47" spans="2:10">
      <c r="B47" s="943"/>
      <c r="C47" s="258"/>
      <c r="D47" s="258"/>
      <c r="E47" s="258"/>
      <c r="F47" s="258"/>
      <c r="G47" s="258"/>
      <c r="H47" s="258"/>
      <c r="I47" s="258"/>
      <c r="J47" s="258"/>
    </row>
    <row r="48" spans="2:10">
      <c r="B48" s="943"/>
      <c r="C48" s="258"/>
      <c r="D48" s="258"/>
      <c r="E48" s="258"/>
      <c r="F48" s="258"/>
      <c r="G48" s="258"/>
      <c r="H48" s="258"/>
      <c r="I48" s="258"/>
      <c r="J48" s="258"/>
    </row>
    <row r="49" spans="2:10">
      <c r="B49" s="943"/>
      <c r="C49" s="258"/>
      <c r="D49" s="258"/>
      <c r="E49" s="258"/>
      <c r="F49" s="258"/>
      <c r="G49" s="258"/>
      <c r="H49" s="258"/>
      <c r="I49" s="258"/>
      <c r="J49" s="258"/>
    </row>
    <row r="50" spans="2:10">
      <c r="B50" s="946"/>
      <c r="C50" s="258"/>
      <c r="D50" s="258"/>
      <c r="E50" s="258"/>
      <c r="F50" s="258"/>
      <c r="G50" s="258"/>
      <c r="H50" s="258"/>
      <c r="I50" s="258"/>
      <c r="J50" s="258"/>
    </row>
    <row r="51" spans="2:10">
      <c r="B51" s="946"/>
      <c r="C51" s="258"/>
      <c r="D51" s="258"/>
      <c r="E51" s="258"/>
      <c r="F51" s="258"/>
      <c r="G51" s="258"/>
      <c r="H51" s="258"/>
      <c r="I51" s="258"/>
      <c r="J51" s="258"/>
    </row>
    <row r="52" spans="2:10">
      <c r="B52" s="947"/>
      <c r="C52" s="258"/>
      <c r="D52" s="258"/>
      <c r="E52" s="258"/>
      <c r="F52" s="258"/>
      <c r="G52" s="258"/>
      <c r="H52" s="258"/>
      <c r="I52" s="258"/>
      <c r="J52" s="258"/>
    </row>
    <row r="53" spans="2:10">
      <c r="B53" s="97"/>
    </row>
    <row r="54" spans="2:10">
      <c r="B54" s="162"/>
    </row>
    <row r="55" spans="2:10">
      <c r="B55" s="307"/>
    </row>
    <row r="56" spans="2:10">
      <c r="B56" s="85"/>
    </row>
    <row r="57" spans="2:10">
      <c r="B57" s="85"/>
    </row>
    <row r="58" spans="2:10">
      <c r="B58" s="85"/>
    </row>
    <row r="59" spans="2:10">
      <c r="B59" s="85"/>
    </row>
    <row r="60" spans="2:10">
      <c r="B60" s="85"/>
    </row>
    <row r="61" spans="2:10">
      <c r="B61" s="85"/>
    </row>
    <row r="62" spans="2:10" ht="13.8">
      <c r="B62" s="1507" t="s">
        <v>199</v>
      </c>
      <c r="C62" s="1507"/>
      <c r="D62" s="1507"/>
      <c r="E62" s="1507"/>
      <c r="F62" s="1507"/>
      <c r="G62" s="1507"/>
      <c r="H62" s="1507"/>
      <c r="I62" s="1507"/>
      <c r="J62" s="1507"/>
    </row>
  </sheetData>
  <sheetProtection algorithmName="SHA-512" hashValue="yINWXBUaAu+drYpaw6B7C+sO/hCO2JsYmJ3H3v5CVoq0q8H72mtSIqRFKuM3I6HUbNkE8w18Xk69F0kcixO7VA==" saltValue="MLT3sSaaUx3mp/FmRjwIXg=="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J11" sqref="J11"/>
      <pageMargins left="0.25" right="0.25" top="0.5" bottom="0.5" header="0.25" footer="0.25"/>
      <pageSetup orientation="portrait" r:id="rId2"/>
      <headerFooter alignWithMargins="0"/>
    </customSheetView>
    <customSheetView guid="{A64E4C9E-A3DA-4AAA-8607-F524450B9436}">
      <selection activeCell="J11" sqref="J11"/>
      <pageMargins left="0.25" right="0.25" top="0.5" bottom="0.5" header="0.25" footer="0.25"/>
      <pageSetup orientation="portrait" r:id="rId3"/>
      <headerFooter alignWithMargins="0"/>
    </customSheetView>
    <customSheetView guid="{AB4FBD91-4533-473A-9702-569FF6402073}">
      <selection activeCell="J11" sqref="J11"/>
      <pageMargins left="0.25" right="0.25" top="0.5" bottom="0.5" header="0.25" footer="0.25"/>
      <pageSetup paperSize="5" orientation="portrait" r:id="rId4"/>
      <headerFooter alignWithMargins="0"/>
    </customSheetView>
  </customSheetViews>
  <mergeCells count="4">
    <mergeCell ref="B3:J3"/>
    <mergeCell ref="B5:J5"/>
    <mergeCell ref="B62:J62"/>
    <mergeCell ref="B6:J6"/>
  </mergeCells>
  <phoneticPr fontId="0" type="noConversion"/>
  <pageMargins left="0.25" right="0.25" top="0.5" bottom="0.5" header="0.25" footer="0.25"/>
  <pageSetup paperSize="5" orientation="portrait" r:id="rId5"/>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3">
    <pageSetUpPr fitToPage="1"/>
  </sheetPr>
  <dimension ref="B2:R62"/>
  <sheetViews>
    <sheetView topLeftCell="A46" zoomScaleNormal="100" workbookViewId="0">
      <selection activeCell="T17" sqref="T17"/>
    </sheetView>
  </sheetViews>
  <sheetFormatPr defaultRowHeight="13.2"/>
  <cols>
    <col min="1" max="4" width="4.6640625" customWidth="1"/>
    <col min="7" max="7" width="10.109375" customWidth="1"/>
    <col min="8" max="8" width="8.33203125" customWidth="1"/>
    <col min="9" max="9" width="4.33203125" customWidth="1"/>
    <col min="10" max="10" width="4.6640625" customWidth="1"/>
    <col min="11" max="11" width="1.6640625" customWidth="1"/>
    <col min="12" max="12" width="7.6640625" customWidth="1"/>
    <col min="13" max="13" width="1.6640625" customWidth="1"/>
    <col min="14" max="14" width="8.6640625" customWidth="1"/>
    <col min="15" max="15" width="1.5546875" customWidth="1"/>
    <col min="16" max="16" width="7.6640625" customWidth="1"/>
    <col min="17" max="17" width="8.6640625" customWidth="1"/>
  </cols>
  <sheetData>
    <row r="2" spans="2:17" ht="17.399999999999999">
      <c r="B2" s="1560" t="s">
        <v>607</v>
      </c>
      <c r="C2" s="1560"/>
      <c r="D2" s="1560"/>
      <c r="E2" s="1560"/>
      <c r="F2" s="1560"/>
      <c r="G2" s="1560"/>
      <c r="H2" s="1560"/>
      <c r="I2" s="1560"/>
      <c r="J2" s="1560"/>
      <c r="K2" s="1560"/>
      <c r="L2" s="1560"/>
      <c r="M2" s="1560"/>
      <c r="N2" s="1560"/>
      <c r="O2" s="1560"/>
      <c r="P2" s="1560"/>
      <c r="Q2" s="1560"/>
    </row>
    <row r="4" spans="2:17" ht="22.8">
      <c r="B4" s="1549" t="s">
        <v>770</v>
      </c>
      <c r="C4" s="1549"/>
      <c r="D4" s="1549"/>
      <c r="E4" s="1549"/>
      <c r="F4" s="1549"/>
      <c r="G4" s="1549"/>
      <c r="H4" s="1549"/>
      <c r="I4" s="1549"/>
      <c r="J4" s="1549"/>
      <c r="K4" s="1549"/>
      <c r="L4" s="1549"/>
      <c r="M4" s="1549"/>
      <c r="N4" s="1549"/>
      <c r="O4" s="1549"/>
      <c r="P4" s="1549"/>
      <c r="Q4" s="1549"/>
    </row>
    <row r="6" spans="2:17">
      <c r="B6" s="1755" t="s">
        <v>179</v>
      </c>
      <c r="C6" s="1755"/>
      <c r="D6" s="1755"/>
      <c r="E6" s="1755"/>
      <c r="F6" s="1755"/>
      <c r="G6" s="1755"/>
      <c r="H6" s="1755"/>
      <c r="I6" s="1755"/>
      <c r="J6" s="1755"/>
      <c r="K6" s="1755"/>
      <c r="L6" s="1755"/>
      <c r="M6" s="1755"/>
      <c r="N6" s="1755"/>
      <c r="O6" s="1755"/>
      <c r="P6" s="1755"/>
      <c r="Q6" s="1755"/>
    </row>
    <row r="8" spans="2:17">
      <c r="B8" s="1756" t="s">
        <v>354</v>
      </c>
      <c r="C8" s="1756"/>
      <c r="D8" s="1756"/>
      <c r="E8" s="1756"/>
      <c r="F8" s="1756"/>
      <c r="G8" s="1756"/>
      <c r="H8" s="1756"/>
      <c r="I8" s="1756"/>
      <c r="J8" s="1756"/>
      <c r="K8" s="1756"/>
      <c r="L8" s="1756"/>
      <c r="M8" s="1756"/>
      <c r="N8" s="1756"/>
      <c r="O8" s="1756"/>
      <c r="P8" s="1756"/>
      <c r="Q8" s="1756"/>
    </row>
    <row r="9" spans="2:17" ht="13.8" thickBot="1">
      <c r="B9" s="10"/>
      <c r="C9" s="10"/>
      <c r="D9" s="10"/>
      <c r="E9" s="10"/>
      <c r="F9" s="10"/>
      <c r="G9" s="10"/>
      <c r="H9" s="10"/>
      <c r="I9" s="10"/>
      <c r="J9" s="10"/>
      <c r="K9" s="10"/>
      <c r="L9" s="10"/>
      <c r="M9" s="10"/>
      <c r="N9" s="10"/>
      <c r="O9" s="10"/>
      <c r="P9" s="10"/>
      <c r="Q9" s="10"/>
    </row>
    <row r="10" spans="2:17" ht="13.8" thickTop="1">
      <c r="B10" s="42"/>
      <c r="C10" s="42"/>
      <c r="D10" s="42"/>
      <c r="E10" s="42"/>
      <c r="F10" s="42"/>
      <c r="G10" s="42"/>
      <c r="H10" s="42"/>
      <c r="I10" s="42"/>
    </row>
    <row r="11" spans="2:17" ht="13.8">
      <c r="B11" s="93" t="s">
        <v>67</v>
      </c>
    </row>
    <row r="12" spans="2:17" ht="21.9" customHeight="1">
      <c r="C12" s="85" t="s">
        <v>384</v>
      </c>
      <c r="D12" s="280" t="str">
        <f>"Total Tax Levy for the Year "&amp;TEXT('KEY INPUTS'!D34,"0")&amp;" was"</f>
        <v>Total Tax Levy for the Year 2019 was</v>
      </c>
      <c r="M12" t="s">
        <v>482</v>
      </c>
      <c r="N12" s="1752">
        <f>+'22-2019 Levy'!J17</f>
        <v>37627741.490000002</v>
      </c>
      <c r="O12" s="1752"/>
      <c r="P12" s="1752"/>
    </row>
    <row r="13" spans="2:17" ht="21.9" customHeight="1">
      <c r="C13" s="85" t="s">
        <v>385</v>
      </c>
      <c r="D13" s="280" t="str">
        <f>"Amount of Item 1 Collected in "&amp;TEXT('KEY INPUTS'!D34,"0")&amp;" (*)"</f>
        <v>Amount of Item 1 Collected in 2019 (*)</v>
      </c>
      <c r="K13" s="42" t="s">
        <v>482</v>
      </c>
      <c r="L13" s="1752">
        <f>+'22-2019 Levy'!L32</f>
        <v>37319300.620000005</v>
      </c>
      <c r="M13" s="1752"/>
      <c r="N13" s="1752"/>
    </row>
    <row r="14" spans="2:17" ht="21.9" customHeight="1">
      <c r="C14" s="85" t="s">
        <v>386</v>
      </c>
      <c r="D14" t="s">
        <v>355</v>
      </c>
      <c r="M14" t="s">
        <v>482</v>
      </c>
      <c r="N14" s="1752">
        <f>+N12*0.7</f>
        <v>26339419.043000001</v>
      </c>
      <c r="O14" s="1752"/>
      <c r="P14" s="1752"/>
    </row>
    <row r="15" spans="2:17" ht="21.9" customHeight="1">
      <c r="C15" t="s">
        <v>356</v>
      </c>
    </row>
    <row r="17" spans="2:17" ht="13.8" thickBot="1">
      <c r="B17" s="10"/>
      <c r="C17" s="10"/>
      <c r="D17" s="10"/>
      <c r="E17" s="10"/>
      <c r="F17" s="10"/>
      <c r="G17" s="10"/>
      <c r="H17" s="10"/>
      <c r="I17" s="10"/>
      <c r="J17" s="10"/>
      <c r="K17" s="10"/>
      <c r="L17" s="10"/>
      <c r="M17" s="10"/>
      <c r="N17" s="10"/>
      <c r="O17" s="10"/>
      <c r="P17" s="10"/>
      <c r="Q17" s="10"/>
    </row>
    <row r="18" spans="2:17" ht="13.8" thickTop="1"/>
    <row r="19" spans="2:17" ht="13.8">
      <c r="B19" s="93" t="s">
        <v>69</v>
      </c>
    </row>
    <row r="20" spans="2:17">
      <c r="C20" s="85" t="s">
        <v>384</v>
      </c>
      <c r="D20" s="280" t="str">
        <f>"Did any maturities of bonded obligations or notes fall due during the year "&amp;TEXT('KEY INPUTS'!D34,"0")&amp;"?"</f>
        <v>Did any maturities of bonded obligations or notes fall due during the year 2019?</v>
      </c>
    </row>
    <row r="22" spans="2:17">
      <c r="D22" s="1546" t="s">
        <v>357</v>
      </c>
      <c r="E22" s="1546"/>
      <c r="F22" s="1546"/>
      <c r="G22" s="646" t="s">
        <v>3950</v>
      </c>
      <c r="H22" s="163"/>
    </row>
    <row r="24" spans="2:17">
      <c r="C24" s="85" t="s">
        <v>385</v>
      </c>
      <c r="D24" t="s">
        <v>760</v>
      </c>
    </row>
    <row r="25" spans="2:17">
      <c r="E25" s="280" t="str">
        <f>"December 31, "&amp;TEXT('KEY INPUTS'!D34,"0")&amp;"?"</f>
        <v>December 31, 2019?</v>
      </c>
    </row>
    <row r="27" spans="2:17">
      <c r="D27" s="1546" t="s">
        <v>357</v>
      </c>
      <c r="E27" s="1546"/>
      <c r="F27" s="1546"/>
      <c r="G27" s="646" t="s">
        <v>3950</v>
      </c>
      <c r="H27" t="s">
        <v>761</v>
      </c>
    </row>
    <row r="30" spans="2:17">
      <c r="D30" s="118" t="s">
        <v>771</v>
      </c>
    </row>
    <row r="31" spans="2:17" ht="13.8" thickBot="1">
      <c r="B31" s="10"/>
      <c r="C31" s="10"/>
      <c r="D31" s="10"/>
      <c r="E31" s="10"/>
      <c r="F31" s="10"/>
      <c r="G31" s="10"/>
      <c r="H31" s="10"/>
      <c r="I31" s="10"/>
      <c r="J31" s="10"/>
      <c r="K31" s="10"/>
      <c r="L31" s="10"/>
      <c r="M31" s="10"/>
      <c r="N31" s="10"/>
      <c r="O31" s="10"/>
      <c r="P31" s="10"/>
      <c r="Q31" s="10"/>
    </row>
    <row r="32" spans="2:17" ht="13.8" thickTop="1"/>
    <row r="33" spans="2:17" ht="13.8">
      <c r="B33" s="93" t="s">
        <v>1081</v>
      </c>
      <c r="C33" s="280" t="str">
        <f>"Does the appropriation required to be included in the "&amp;TEXT('KEY INPUTS'!D33,"0")&amp;" budget for the liquidation of all bonded"</f>
        <v>Does the appropriation required to be included in the 2020 budget for the liquidation of all bonded</v>
      </c>
    </row>
    <row r="34" spans="2:17">
      <c r="B34" t="s">
        <v>772</v>
      </c>
    </row>
    <row r="35" spans="2:17">
      <c r="B35" t="s">
        <v>762</v>
      </c>
      <c r="E35" s="1546"/>
      <c r="F35" s="1546"/>
      <c r="G35" s="1546"/>
      <c r="H35" s="1511"/>
      <c r="I35" s="1511"/>
    </row>
    <row r="36" spans="2:17">
      <c r="E36" s="1546" t="s">
        <v>357</v>
      </c>
      <c r="F36" s="1546"/>
      <c r="G36" s="1546"/>
      <c r="H36" s="646" t="s">
        <v>3951</v>
      </c>
    </row>
    <row r="37" spans="2:17" ht="13.8" thickBot="1">
      <c r="B37" s="10"/>
      <c r="C37" s="10"/>
      <c r="D37" s="10"/>
      <c r="E37" s="10"/>
      <c r="F37" s="10"/>
      <c r="G37" s="10"/>
      <c r="H37" s="10"/>
      <c r="I37" s="10"/>
      <c r="J37" s="10"/>
      <c r="K37" s="10"/>
      <c r="L37" s="10"/>
      <c r="M37" s="10"/>
      <c r="N37" s="10"/>
      <c r="O37" s="10"/>
      <c r="P37" s="10"/>
      <c r="Q37" s="10"/>
    </row>
    <row r="38" spans="2:17" ht="13.8" thickTop="1"/>
    <row r="39" spans="2:17" ht="13.8">
      <c r="B39" s="93" t="s">
        <v>1082</v>
      </c>
    </row>
    <row r="40" spans="2:17">
      <c r="C40" s="85" t="s">
        <v>384</v>
      </c>
      <c r="D40" s="280" t="str">
        <f>"Cash Deficit "&amp;TEXT('KEY INPUTS'!D35,"0")</f>
        <v>Cash Deficit 2018</v>
      </c>
      <c r="O40" t="s">
        <v>482</v>
      </c>
      <c r="P40" s="1551"/>
      <c r="Q40" s="1551"/>
    </row>
    <row r="42" spans="2:17">
      <c r="C42" s="85" t="s">
        <v>385</v>
      </c>
      <c r="D42" s="280" t="str">
        <f>"4% of "&amp;TEXT('KEY INPUTS'!D35,"0")&amp;" Tax Levy for all purposes:"</f>
        <v>4% of 2018 Tax Levy for all purposes:</v>
      </c>
    </row>
    <row r="43" spans="2:17">
      <c r="H43" t="s">
        <v>765</v>
      </c>
      <c r="I43" s="38" t="s">
        <v>764</v>
      </c>
      <c r="J43" s="1551"/>
      <c r="K43" s="1551"/>
      <c r="L43" s="1551"/>
      <c r="M43" s="1551"/>
      <c r="N43" s="1" t="s">
        <v>763</v>
      </c>
      <c r="O43" t="s">
        <v>482</v>
      </c>
      <c r="P43" s="1551"/>
      <c r="Q43" s="1551"/>
    </row>
    <row r="45" spans="2:17">
      <c r="C45" s="85" t="s">
        <v>386</v>
      </c>
      <c r="D45" s="280" t="str">
        <f>"Cash Deficit "&amp;TEXT('KEY INPUTS'!D34,"0")</f>
        <v>Cash Deficit 2019</v>
      </c>
      <c r="O45" t="s">
        <v>482</v>
      </c>
      <c r="P45" s="1551"/>
      <c r="Q45" s="1551"/>
    </row>
    <row r="47" spans="2:17">
      <c r="C47" s="85" t="s">
        <v>387</v>
      </c>
      <c r="D47" s="280" t="str">
        <f>"4% of "&amp;TEXT('KEY INPUTS'!D34,"0")&amp;" Tax Levy for all purposes:"</f>
        <v>4% of 2019 Tax Levy for all purposes:</v>
      </c>
    </row>
    <row r="48" spans="2:17">
      <c r="H48" t="s">
        <v>765</v>
      </c>
      <c r="I48" s="38" t="s">
        <v>764</v>
      </c>
      <c r="J48" s="1551"/>
      <c r="K48" s="1551"/>
      <c r="L48" s="1551"/>
      <c r="M48" s="1551"/>
      <c r="N48" s="1" t="s">
        <v>763</v>
      </c>
      <c r="O48" t="s">
        <v>482</v>
      </c>
      <c r="P48" s="1551"/>
      <c r="Q48" s="1551"/>
    </row>
    <row r="50" spans="2:18" ht="13.8" thickBot="1">
      <c r="B50" s="10"/>
      <c r="C50" s="10"/>
      <c r="D50" s="10"/>
      <c r="E50" s="10"/>
      <c r="F50" s="10"/>
      <c r="G50" s="10"/>
      <c r="H50" s="10"/>
      <c r="I50" s="10"/>
      <c r="J50" s="10"/>
      <c r="K50" s="10"/>
      <c r="L50" s="10"/>
      <c r="M50" s="10"/>
      <c r="N50" s="10"/>
      <c r="O50" s="10"/>
      <c r="P50" s="10"/>
      <c r="Q50" s="10"/>
    </row>
    <row r="51" spans="2:18" ht="13.8" thickTop="1"/>
    <row r="52" spans="2:18" ht="13.8">
      <c r="B52" s="93" t="s">
        <v>1083</v>
      </c>
      <c r="D52" s="1572" t="s">
        <v>769</v>
      </c>
      <c r="E52" s="1572"/>
      <c r="F52" s="1572"/>
      <c r="H52" s="1572">
        <f>'KEY INPUTS'!D35</f>
        <v>2018</v>
      </c>
      <c r="I52" s="1572"/>
      <c r="J52" s="1572"/>
      <c r="L52" s="1572">
        <f>'KEY INPUTS'!D34</f>
        <v>2019</v>
      </c>
      <c r="M52" s="1572"/>
      <c r="N52" s="1572"/>
      <c r="O52" s="1572" t="s">
        <v>260</v>
      </c>
      <c r="P52" s="1572"/>
      <c r="Q52" s="1572"/>
    </row>
    <row r="54" spans="2:18" ht="21" customHeight="1">
      <c r="C54" s="85" t="s">
        <v>384</v>
      </c>
      <c r="D54" t="s">
        <v>766</v>
      </c>
      <c r="G54" s="38" t="s">
        <v>764</v>
      </c>
      <c r="H54" s="1551"/>
      <c r="I54" s="1551"/>
      <c r="J54" s="1551"/>
      <c r="K54" t="s">
        <v>482</v>
      </c>
      <c r="L54" s="1551"/>
      <c r="M54" s="1551"/>
      <c r="N54" s="1551"/>
      <c r="O54" t="s">
        <v>482</v>
      </c>
      <c r="P54" s="1752">
        <f>+L54+H54</f>
        <v>0</v>
      </c>
      <c r="Q54" s="1752"/>
    </row>
    <row r="55" spans="2:18" ht="21" customHeight="1">
      <c r="C55" s="85" t="s">
        <v>385</v>
      </c>
      <c r="D55" t="s">
        <v>863</v>
      </c>
      <c r="G55" s="38" t="s">
        <v>764</v>
      </c>
      <c r="H55" s="1551"/>
      <c r="I55" s="1551"/>
      <c r="J55" s="1551"/>
      <c r="K55" t="s">
        <v>482</v>
      </c>
      <c r="L55" s="1753">
        <f>+'15-Other Taxes'!I19+'15-Other Taxes'!I18</f>
        <v>-9.3132257461547852E-10</v>
      </c>
      <c r="M55" s="1753"/>
      <c r="N55" s="1753"/>
      <c r="O55" t="s">
        <v>482</v>
      </c>
      <c r="P55" s="1752">
        <f>+L55+H55</f>
        <v>-9.3132257461547852E-10</v>
      </c>
      <c r="Q55" s="1752"/>
      <c r="R55" s="738"/>
    </row>
    <row r="56" spans="2:18" ht="21" customHeight="1">
      <c r="C56" s="85" t="s">
        <v>386</v>
      </c>
      <c r="D56" t="s">
        <v>767</v>
      </c>
    </row>
    <row r="57" spans="2:18" ht="21" customHeight="1">
      <c r="C57" s="85"/>
      <c r="G57" s="38" t="s">
        <v>764</v>
      </c>
      <c r="H57" s="1551"/>
      <c r="I57" s="1551"/>
      <c r="J57" s="1551"/>
      <c r="K57" t="s">
        <v>482</v>
      </c>
      <c r="L57" s="1754">
        <f>'15-Other Taxes'!I38</f>
        <v>0</v>
      </c>
      <c r="M57" s="1754"/>
      <c r="N57" s="1754"/>
      <c r="O57" t="s">
        <v>482</v>
      </c>
      <c r="P57" s="1752">
        <f>+L57+H57</f>
        <v>0</v>
      </c>
      <c r="Q57" s="1752"/>
      <c r="R57" s="738"/>
    </row>
    <row r="58" spans="2:18" ht="21" customHeight="1">
      <c r="C58" s="85" t="s">
        <v>387</v>
      </c>
      <c r="D58" s="324" t="s">
        <v>3689</v>
      </c>
    </row>
    <row r="59" spans="2:18" ht="21" customHeight="1">
      <c r="C59" s="85"/>
      <c r="G59" s="38" t="s">
        <v>764</v>
      </c>
      <c r="H59" s="1551"/>
      <c r="I59" s="1551"/>
      <c r="J59" s="1551"/>
      <c r="K59" t="s">
        <v>482</v>
      </c>
      <c r="L59" s="1752">
        <f>+'13-Other Taxes'!G18+'13-Other Taxes'!G16+'14-Other Taxes'!G38+'14-Other Taxes'!G17+'14-Other Taxes'!G19+'14-Other Taxes'!G40</f>
        <v>2</v>
      </c>
      <c r="M59" s="1752"/>
      <c r="N59" s="1752"/>
      <c r="O59" t="s">
        <v>482</v>
      </c>
      <c r="P59" s="1752">
        <f>+L59+H59</f>
        <v>2</v>
      </c>
      <c r="Q59" s="1752"/>
      <c r="R59" s="738"/>
    </row>
    <row r="62" spans="2:18" ht="13.8">
      <c r="B62" s="1507" t="s">
        <v>768</v>
      </c>
      <c r="C62" s="1507"/>
      <c r="D62" s="1507"/>
      <c r="E62" s="1507"/>
      <c r="F62" s="1507"/>
      <c r="G62" s="1507"/>
      <c r="H62" s="1507"/>
      <c r="I62" s="1507"/>
      <c r="J62" s="1507"/>
      <c r="K62" s="1507"/>
      <c r="L62" s="1507"/>
      <c r="M62" s="1507"/>
      <c r="N62" s="1507"/>
      <c r="O62" s="1507"/>
      <c r="P62" s="1507"/>
      <c r="Q62" s="1507"/>
    </row>
  </sheetData>
  <sheetProtection algorithmName="SHA-512" hashValue="AJEBZ08GJ5mWggCkByPXRN6VhSyoT++ncrRDDpx0yLX/t5qMjdTD3JNBLrwIdWiBjRzcRTaQRmaRjUFIS5SwTw==" saltValue="0C0Z8KPJ9tLDF/mka9mhzg==" spinCount="100000" sheet="1" objects="1" scenarios="1"/>
  <customSheetViews>
    <customSheetView guid="{AC653BD0-46E3-42CB-9C76-32121A57B65A}" topLeftCell="A28">
      <selection activeCell="L59" sqref="L59:N59"/>
      <pageMargins left="0.25" right="0.25" top="0.5" bottom="0.5" header="0.25" footer="0.25"/>
      <pageSetup paperSize="5" orientation="portrait" r:id="rId1"/>
      <headerFooter alignWithMargins="0"/>
    </customSheetView>
    <customSheetView guid="{B165479B-DC25-403C-9595-F1A88A4AA9A2}">
      <selection activeCell="L59" sqref="L59:N59"/>
      <pageMargins left="0.25" right="0.25" top="0.5" bottom="0.5" header="0.25" footer="0.25"/>
      <pageSetup paperSize="5" orientation="portrait" r:id="rId2"/>
      <headerFooter alignWithMargins="0"/>
    </customSheetView>
    <customSheetView guid="{A64E4C9E-A3DA-4AAA-8607-F524450B9436}">
      <selection activeCell="L59" sqref="L59:N59"/>
      <pageMargins left="0.25" right="0.25" top="0.5" bottom="0.5" header="0.25" footer="0.25"/>
      <pageSetup paperSize="5" orientation="portrait" r:id="rId3"/>
      <headerFooter alignWithMargins="0"/>
    </customSheetView>
    <customSheetView guid="{AB4FBD91-4533-473A-9702-569FF6402073}" topLeftCell="A16">
      <selection activeCell="Q29" sqref="Q29"/>
      <pageMargins left="0.25" right="0.25" top="0.5" bottom="0.5" header="0.25" footer="0.25"/>
      <pageSetup paperSize="5" orientation="portrait" r:id="rId4"/>
      <headerFooter alignWithMargins="0"/>
    </customSheetView>
  </customSheetViews>
  <mergeCells count="35">
    <mergeCell ref="B2:Q2"/>
    <mergeCell ref="B4:Q4"/>
    <mergeCell ref="B6:Q6"/>
    <mergeCell ref="B8:Q8"/>
    <mergeCell ref="L59:N59"/>
    <mergeCell ref="P55:Q55"/>
    <mergeCell ref="P48:Q48"/>
    <mergeCell ref="J43:M43"/>
    <mergeCell ref="J48:M48"/>
    <mergeCell ref="P45:Q45"/>
    <mergeCell ref="H54:J54"/>
    <mergeCell ref="H55:J55"/>
    <mergeCell ref="H57:J57"/>
    <mergeCell ref="N12:P12"/>
    <mergeCell ref="N14:P14"/>
    <mergeCell ref="L13:N13"/>
    <mergeCell ref="D22:F22"/>
    <mergeCell ref="D27:F27"/>
    <mergeCell ref="H35:I35"/>
    <mergeCell ref="D52:F52"/>
    <mergeCell ref="O52:Q52"/>
    <mergeCell ref="L52:N52"/>
    <mergeCell ref="P40:Q40"/>
    <mergeCell ref="E36:G36"/>
    <mergeCell ref="E35:G35"/>
    <mergeCell ref="B62:Q62"/>
    <mergeCell ref="P43:Q43"/>
    <mergeCell ref="H52:J52"/>
    <mergeCell ref="H59:J59"/>
    <mergeCell ref="P59:Q59"/>
    <mergeCell ref="L54:N54"/>
    <mergeCell ref="L55:N55"/>
    <mergeCell ref="P57:Q57"/>
    <mergeCell ref="P54:Q54"/>
    <mergeCell ref="L57:N57"/>
  </mergeCells>
  <phoneticPr fontId="0" type="noConversion"/>
  <pageMargins left="0.25" right="0.25" top="0.5" bottom="0.5" header="0.25" footer="0.25"/>
  <pageSetup paperSize="5" orientation="portrait" r:id="rId5"/>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4">
    <tabColor theme="6" tint="0.39997558519241921"/>
    <pageSetUpPr fitToPage="1"/>
  </sheetPr>
  <dimension ref="B12:V68"/>
  <sheetViews>
    <sheetView topLeftCell="A58" workbookViewId="0">
      <selection activeCell="S16" sqref="S16"/>
    </sheetView>
  </sheetViews>
  <sheetFormatPr defaultRowHeight="13.2"/>
  <cols>
    <col min="1" max="1" width="4.6640625" customWidth="1"/>
    <col min="3" max="3" width="5.88671875" customWidth="1"/>
  </cols>
  <sheetData>
    <row r="12" spans="16:22">
      <c r="P12" s="322"/>
      <c r="Q12" s="322"/>
      <c r="R12" s="322"/>
      <c r="S12" s="322"/>
      <c r="T12" s="322"/>
      <c r="U12" s="322"/>
      <c r="V12" s="322"/>
    </row>
    <row r="13" spans="16:22">
      <c r="P13" s="322"/>
      <c r="Q13" s="322"/>
      <c r="R13" s="322"/>
      <c r="S13" s="322"/>
      <c r="T13" s="322"/>
      <c r="U13" s="322"/>
      <c r="V13" s="322"/>
    </row>
    <row r="14" spans="16:22">
      <c r="P14" s="377"/>
      <c r="Q14" s="322"/>
      <c r="R14" s="322"/>
      <c r="S14" s="322"/>
      <c r="T14" s="322"/>
      <c r="U14" s="322"/>
      <c r="V14" s="322"/>
    </row>
    <row r="15" spans="16:22">
      <c r="P15" s="322"/>
      <c r="Q15" s="322"/>
      <c r="R15" s="322"/>
      <c r="S15" s="322"/>
      <c r="T15" s="322"/>
      <c r="U15" s="322"/>
      <c r="V15" s="322"/>
    </row>
    <row r="16" spans="16:22">
      <c r="P16" s="322"/>
      <c r="Q16" s="322"/>
      <c r="R16" s="322"/>
      <c r="S16" s="322"/>
      <c r="T16" s="322"/>
      <c r="U16" s="322"/>
      <c r="V16" s="322"/>
    </row>
    <row r="17" spans="2:22">
      <c r="P17" s="322"/>
      <c r="Q17" s="322"/>
      <c r="R17" s="322"/>
      <c r="S17" s="322"/>
      <c r="T17" s="322"/>
      <c r="U17" s="322"/>
      <c r="V17" s="322"/>
    </row>
    <row r="18" spans="2:22">
      <c r="P18" s="322"/>
      <c r="Q18" s="322"/>
      <c r="R18" s="322"/>
      <c r="S18" s="322"/>
      <c r="T18" s="322"/>
      <c r="U18" s="322"/>
      <c r="V18" s="322"/>
    </row>
    <row r="19" spans="2:22">
      <c r="P19" s="322"/>
      <c r="Q19" s="322"/>
      <c r="R19" s="322"/>
      <c r="S19" s="322"/>
      <c r="T19" s="322"/>
      <c r="U19" s="322"/>
      <c r="V19" s="322"/>
    </row>
    <row r="20" spans="2:22">
      <c r="P20" s="322"/>
      <c r="Q20" s="322"/>
      <c r="R20" s="322"/>
      <c r="S20" s="322"/>
      <c r="T20" s="322"/>
      <c r="U20" s="322"/>
      <c r="V20" s="322"/>
    </row>
    <row r="21" spans="2:22">
      <c r="P21" s="322"/>
      <c r="Q21" s="322"/>
      <c r="R21" s="322"/>
      <c r="S21" s="322"/>
      <c r="T21" s="322"/>
      <c r="U21" s="322"/>
      <c r="V21" s="322"/>
    </row>
    <row r="22" spans="2:22" ht="31.8">
      <c r="B22" s="1757" t="s">
        <v>33</v>
      </c>
      <c r="C22" s="1757"/>
      <c r="D22" s="1757"/>
      <c r="E22" s="1757"/>
      <c r="F22" s="1757"/>
      <c r="G22" s="1757"/>
      <c r="H22" s="1757"/>
      <c r="I22" s="1757"/>
      <c r="J22" s="1757"/>
      <c r="K22" s="1757"/>
      <c r="P22" s="322"/>
      <c r="Q22" s="322"/>
      <c r="R22" s="322"/>
      <c r="S22" s="322"/>
      <c r="T22" s="322"/>
      <c r="U22" s="322"/>
      <c r="V22" s="322"/>
    </row>
    <row r="23" spans="2:22">
      <c r="P23" s="322"/>
      <c r="Q23" s="322"/>
      <c r="R23" s="322"/>
      <c r="S23" s="322"/>
      <c r="T23" s="322"/>
      <c r="U23" s="322"/>
      <c r="V23" s="322"/>
    </row>
    <row r="24" spans="2:22">
      <c r="P24" s="322"/>
      <c r="Q24" s="322"/>
      <c r="R24" s="322"/>
      <c r="S24" s="322"/>
      <c r="T24" s="322"/>
      <c r="U24" s="322"/>
      <c r="V24" s="322"/>
    </row>
    <row r="25" spans="2:22">
      <c r="P25" s="322"/>
      <c r="Q25" s="322"/>
      <c r="R25" s="322"/>
      <c r="S25" s="322"/>
      <c r="T25" s="322"/>
      <c r="U25" s="322"/>
      <c r="V25" s="322"/>
    </row>
    <row r="40" spans="3:4">
      <c r="C40" s="171" t="s">
        <v>897</v>
      </c>
    </row>
    <row r="41" spans="3:4">
      <c r="D41" t="s">
        <v>34</v>
      </c>
    </row>
    <row r="42" spans="3:4">
      <c r="C42" t="str">
        <f>"owned and operated by the municipality during the year "&amp;TEXT('KEY INPUTS'!D34,"0")&amp;", please observe"</f>
        <v>owned and operated by the municipality during the year 2019, please observe</v>
      </c>
    </row>
    <row r="43" spans="3:4">
      <c r="C43" t="s">
        <v>35</v>
      </c>
    </row>
    <row r="68" spans="2:11" ht="13.8">
      <c r="B68" s="1507" t="s">
        <v>36</v>
      </c>
      <c r="C68" s="1507"/>
      <c r="D68" s="1507"/>
      <c r="E68" s="1507"/>
      <c r="F68" s="1507"/>
      <c r="G68" s="1507"/>
      <c r="H68" s="1507"/>
      <c r="I68" s="1507"/>
      <c r="J68" s="1507"/>
      <c r="K68" s="1507"/>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2">
    <mergeCell ref="B22:K22"/>
    <mergeCell ref="B68:K68"/>
  </mergeCells>
  <phoneticPr fontId="0" type="noConversion"/>
  <pageMargins left="0.25" right="0.25" top="0.5" bottom="0.5" header="0.25" footer="0.25"/>
  <pageSetup paperSize="5" orientation="portrait" r:id="rId5"/>
  <headerFooter alignWithMargins="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5">
    <tabColor theme="6" tint="0.39997558519241921"/>
  </sheetPr>
  <dimension ref="B2:R57"/>
  <sheetViews>
    <sheetView topLeftCell="A19" zoomScaleNormal="100" zoomScaleSheetLayoutView="80" workbookViewId="0">
      <selection activeCell="H26" sqref="H26"/>
    </sheetView>
  </sheetViews>
  <sheetFormatPr defaultColWidth="8.88671875" defaultRowHeight="13.2"/>
  <cols>
    <col min="1" max="1" width="4.6640625" style="398" customWidth="1"/>
    <col min="2" max="2" width="4.88671875" style="398" customWidth="1"/>
    <col min="3" max="4" width="4.6640625" style="398" customWidth="1"/>
    <col min="5" max="5" width="30.6640625" style="398" customWidth="1"/>
    <col min="6" max="6" width="15.6640625" style="398" customWidth="1"/>
    <col min="7" max="8" width="16.6640625" style="398" customWidth="1"/>
    <col min="9" max="9" width="3.6640625" style="398" bestFit="1" customWidth="1"/>
    <col min="10" max="10" width="13.5546875" style="398" bestFit="1" customWidth="1"/>
    <col min="11" max="16384" width="8.88671875" style="398"/>
  </cols>
  <sheetData>
    <row r="2" spans="2:18">
      <c r="B2" s="1758" t="s">
        <v>37</v>
      </c>
      <c r="C2" s="1758"/>
      <c r="D2" s="1758"/>
      <c r="E2" s="1758"/>
      <c r="F2" s="1758"/>
      <c r="G2" s="1758"/>
      <c r="H2" s="1758"/>
    </row>
    <row r="3" spans="2:18">
      <c r="B3" s="1758" t="s">
        <v>572</v>
      </c>
      <c r="C3" s="1758"/>
      <c r="D3" s="1758"/>
      <c r="E3" s="1758"/>
      <c r="F3" s="1758"/>
      <c r="G3" s="1758"/>
      <c r="H3" s="1758"/>
    </row>
    <row r="4" spans="2:18">
      <c r="B4" s="1114"/>
      <c r="C4" s="1114"/>
      <c r="D4" s="1114"/>
      <c r="E4" s="1114"/>
      <c r="F4" s="1114"/>
      <c r="G4" s="1114"/>
      <c r="H4" s="1114"/>
    </row>
    <row r="5" spans="2:18" ht="22.8">
      <c r="B5" s="1759" t="s">
        <v>543</v>
      </c>
      <c r="C5" s="1759"/>
      <c r="D5" s="1759"/>
      <c r="E5" s="1759"/>
      <c r="F5" s="1759"/>
      <c r="G5" s="1759"/>
      <c r="H5" s="1759"/>
    </row>
    <row r="6" spans="2:18" ht="22.8">
      <c r="B6" s="1759" t="str">
        <f>"TRIAL  BALANCE - "&amp;UPPER('KEY INPUTS'!D52)&amp;"  UTILITY  FUND"</f>
        <v>TRIAL  BALANCE -   UTILITY  FUND</v>
      </c>
      <c r="C6" s="1759"/>
      <c r="D6" s="1759"/>
      <c r="E6" s="1759"/>
      <c r="F6" s="1759"/>
      <c r="G6" s="1759"/>
      <c r="H6" s="1759"/>
    </row>
    <row r="7" spans="2:18" ht="15.6">
      <c r="B7" s="1760" t="str">
        <f>'KEY INPUTS'!D44</f>
        <v>AS  AT  DECEMBER  31, 2019</v>
      </c>
      <c r="C7" s="1761"/>
      <c r="D7" s="1761"/>
      <c r="E7" s="1761"/>
      <c r="F7" s="1761"/>
      <c r="G7" s="1761"/>
      <c r="H7" s="1761"/>
    </row>
    <row r="8" spans="2:18" ht="15.6">
      <c r="B8" s="1766" t="s">
        <v>573</v>
      </c>
      <c r="C8" s="1766"/>
      <c r="D8" s="1766"/>
      <c r="E8" s="1766"/>
      <c r="F8" s="1766"/>
      <c r="G8" s="1766"/>
      <c r="H8" s="1766"/>
    </row>
    <row r="9" spans="2:18">
      <c r="B9" s="1767" t="s">
        <v>79</v>
      </c>
      <c r="C9" s="1767"/>
      <c r="D9" s="1767"/>
      <c r="E9" s="1767"/>
      <c r="F9" s="1767"/>
      <c r="G9" s="1767"/>
      <c r="H9" s="1767"/>
    </row>
    <row r="10" spans="2:18" ht="15" customHeight="1" thickBot="1">
      <c r="B10" s="1768" t="s">
        <v>80</v>
      </c>
      <c r="C10" s="1768"/>
      <c r="D10" s="1768"/>
      <c r="E10" s="1768"/>
      <c r="F10" s="1768"/>
      <c r="G10" s="1768"/>
      <c r="H10" s="1768"/>
    </row>
    <row r="11" spans="2:18" ht="36" customHeight="1" thickTop="1" thickBot="1">
      <c r="B11" s="1762" t="s">
        <v>124</v>
      </c>
      <c r="C11" s="1762"/>
      <c r="D11" s="1762"/>
      <c r="E11" s="1762"/>
      <c r="F11" s="1763"/>
      <c r="G11" s="1115" t="s">
        <v>125</v>
      </c>
      <c r="H11" s="1116" t="s">
        <v>126</v>
      </c>
      <c r="L11" s="322"/>
      <c r="M11" s="322"/>
      <c r="N11" s="322"/>
      <c r="O11" s="322"/>
      <c r="P11" s="322"/>
      <c r="Q11" s="322"/>
      <c r="R11" s="322"/>
    </row>
    <row r="12" spans="2:18" ht="21" customHeight="1" thickTop="1">
      <c r="B12" s="1114"/>
      <c r="C12" s="1114"/>
      <c r="D12" s="1114"/>
      <c r="E12" s="1114"/>
      <c r="F12" s="1114"/>
      <c r="G12" s="1117"/>
      <c r="H12" s="1118"/>
      <c r="L12" s="322"/>
      <c r="M12" s="322"/>
      <c r="N12" s="322"/>
      <c r="O12" s="322"/>
      <c r="P12" s="322"/>
      <c r="Q12" s="322"/>
      <c r="R12" s="322"/>
    </row>
    <row r="13" spans="2:18" ht="21" customHeight="1">
      <c r="B13" s="690" t="s">
        <v>253</v>
      </c>
      <c r="C13" s="690"/>
      <c r="D13" s="690"/>
      <c r="E13" s="690"/>
      <c r="F13" s="690"/>
      <c r="G13" s="601"/>
      <c r="H13" s="609"/>
      <c r="J13" s="739"/>
      <c r="L13" s="377"/>
      <c r="M13" s="322"/>
      <c r="N13" s="322"/>
      <c r="O13" s="322"/>
      <c r="P13" s="322"/>
      <c r="Q13" s="322"/>
      <c r="R13" s="322"/>
    </row>
    <row r="14" spans="2:18" ht="21" customHeight="1">
      <c r="B14" s="648" t="s">
        <v>419</v>
      </c>
      <c r="C14" s="648"/>
      <c r="D14" s="648"/>
      <c r="E14" s="648"/>
      <c r="F14" s="652"/>
      <c r="G14" s="601"/>
      <c r="H14" s="609"/>
      <c r="J14" s="739"/>
      <c r="L14" s="322"/>
      <c r="M14" s="322"/>
      <c r="N14" s="322"/>
      <c r="O14" s="322"/>
      <c r="P14" s="322"/>
      <c r="Q14" s="322"/>
      <c r="R14" s="322"/>
    </row>
    <row r="15" spans="2:18" ht="21" customHeight="1">
      <c r="B15" s="649"/>
      <c r="C15" s="649"/>
      <c r="D15" s="649"/>
      <c r="E15" s="649"/>
      <c r="F15" s="649"/>
      <c r="G15" s="923"/>
      <c r="H15" s="922"/>
      <c r="L15" s="322"/>
      <c r="M15" s="322"/>
      <c r="N15" s="322"/>
      <c r="O15" s="322"/>
      <c r="P15" s="322"/>
      <c r="Q15" s="322"/>
      <c r="R15" s="322"/>
    </row>
    <row r="16" spans="2:18" ht="21" customHeight="1">
      <c r="B16" s="648" t="s">
        <v>3494</v>
      </c>
      <c r="C16" s="648"/>
      <c r="D16" s="648"/>
      <c r="E16" s="648"/>
      <c r="F16" s="648"/>
      <c r="G16" s="1111"/>
      <c r="H16" s="1111"/>
      <c r="L16" s="322"/>
      <c r="M16" s="322"/>
      <c r="N16" s="322"/>
      <c r="O16" s="322"/>
      <c r="P16" s="322"/>
      <c r="Q16" s="322"/>
      <c r="R16" s="322"/>
    </row>
    <row r="17" spans="2:18" ht="21" customHeight="1">
      <c r="B17" s="648" t="s">
        <v>3494</v>
      </c>
      <c r="C17" s="648"/>
      <c r="D17" s="648"/>
      <c r="E17" s="648"/>
      <c r="F17" s="648"/>
      <c r="G17" s="1111"/>
      <c r="H17" s="1111"/>
      <c r="L17" s="322"/>
      <c r="M17" s="322"/>
      <c r="N17" s="322"/>
      <c r="O17" s="322"/>
      <c r="P17" s="322"/>
      <c r="Q17" s="322"/>
      <c r="R17" s="322"/>
    </row>
    <row r="18" spans="2:18" ht="21" customHeight="1">
      <c r="B18" s="648"/>
      <c r="C18" s="648"/>
      <c r="D18" s="648"/>
      <c r="E18" s="648"/>
      <c r="F18" s="648"/>
      <c r="G18" s="1111"/>
      <c r="H18" s="1111"/>
      <c r="L18" s="322"/>
      <c r="M18" s="322"/>
      <c r="N18" s="322"/>
      <c r="O18" s="322"/>
      <c r="P18" s="322"/>
      <c r="Q18" s="322"/>
      <c r="R18" s="322"/>
    </row>
    <row r="19" spans="2:18" ht="21" customHeight="1">
      <c r="B19" s="1119" t="s">
        <v>3483</v>
      </c>
      <c r="C19" s="1114"/>
      <c r="D19" s="1114"/>
      <c r="E19" s="1114"/>
      <c r="F19" s="1114"/>
      <c r="G19" s="1120"/>
      <c r="H19" s="1121"/>
      <c r="L19" s="322"/>
      <c r="M19" s="322"/>
      <c r="N19" s="322"/>
      <c r="O19" s="322"/>
      <c r="P19" s="322"/>
      <c r="Q19" s="322"/>
      <c r="R19" s="322"/>
    </row>
    <row r="20" spans="2:18" ht="21" customHeight="1">
      <c r="B20" s="690" t="s">
        <v>3484</v>
      </c>
      <c r="C20" s="690"/>
      <c r="D20" s="690"/>
      <c r="E20" s="690"/>
      <c r="F20" s="690"/>
      <c r="G20" s="1122">
        <f>'47-Utility1'!L24</f>
        <v>0</v>
      </c>
      <c r="H20" s="1123"/>
      <c r="L20" s="322"/>
      <c r="M20" s="322"/>
      <c r="N20" s="322"/>
      <c r="O20" s="322"/>
      <c r="P20" s="322"/>
      <c r="Q20" s="322"/>
      <c r="R20" s="322"/>
    </row>
    <row r="21" spans="2:18" ht="21" customHeight="1">
      <c r="B21" s="690" t="s">
        <v>3485</v>
      </c>
      <c r="C21" s="690"/>
      <c r="D21" s="690"/>
      <c r="E21" s="690"/>
      <c r="F21" s="690"/>
      <c r="G21" s="689">
        <f>'47-Utility1'!L54</f>
        <v>0</v>
      </c>
      <c r="H21" s="1114"/>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J23" s="739"/>
      <c r="L23" s="322"/>
      <c r="M23" s="322"/>
      <c r="N23" s="322"/>
      <c r="O23" s="322"/>
      <c r="P23" s="322"/>
      <c r="Q23" s="322"/>
      <c r="R23" s="322"/>
    </row>
    <row r="24" spans="2:18" ht="21" customHeight="1">
      <c r="B24" s="648"/>
      <c r="C24" s="648"/>
      <c r="D24" s="648"/>
      <c r="E24" s="648"/>
      <c r="F24" s="648"/>
      <c r="G24" s="601"/>
      <c r="H24" s="609"/>
      <c r="J24" s="73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90" t="s">
        <v>3486</v>
      </c>
      <c r="C26" s="690"/>
      <c r="D26" s="690"/>
      <c r="E26" s="690"/>
      <c r="F26" s="690"/>
      <c r="G26" s="689"/>
      <c r="H26" s="1124"/>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1125" t="s">
        <v>3487</v>
      </c>
      <c r="C30" s="690"/>
      <c r="D30" s="690"/>
      <c r="E30" s="690"/>
      <c r="F30" s="690"/>
      <c r="G30" s="689"/>
      <c r="H30" s="1124"/>
    </row>
    <row r="31" spans="2:18" ht="21" customHeight="1">
      <c r="B31" s="690" t="s">
        <v>3410</v>
      </c>
      <c r="C31" s="690"/>
      <c r="D31" s="690"/>
      <c r="E31" s="690"/>
      <c r="F31" s="690"/>
      <c r="G31" s="601"/>
      <c r="H31" s="1124">
        <f>+'44-Utility1'!I37</f>
        <v>0</v>
      </c>
      <c r="J31" s="739"/>
    </row>
    <row r="32" spans="2:18" ht="21" customHeight="1">
      <c r="B32" s="690" t="s">
        <v>3409</v>
      </c>
      <c r="C32" s="690"/>
      <c r="D32" s="690"/>
      <c r="E32" s="690"/>
      <c r="F32" s="690"/>
      <c r="G32" s="601"/>
      <c r="H32" s="609"/>
    </row>
    <row r="33" spans="2:10" ht="21" customHeight="1">
      <c r="B33" s="690" t="s">
        <v>3408</v>
      </c>
      <c r="C33" s="690"/>
      <c r="D33" s="690"/>
      <c r="E33" s="690"/>
      <c r="F33" s="690"/>
      <c r="G33" s="601"/>
      <c r="H33" s="1126">
        <f>+'49-Utility1'!I29+'49a-Utility1'!I29+'50-Utility1'!M24+'49a.1-Utility1'!I29</f>
        <v>0</v>
      </c>
      <c r="J33" s="739"/>
    </row>
    <row r="34" spans="2:10" ht="21" customHeight="1">
      <c r="B34" s="648" t="s">
        <v>3495</v>
      </c>
      <c r="C34" s="648"/>
      <c r="D34" s="648"/>
      <c r="E34" s="648"/>
      <c r="F34" s="652"/>
      <c r="G34" s="601"/>
      <c r="H34" s="609"/>
    </row>
    <row r="35" spans="2:10" ht="21" customHeight="1">
      <c r="B35" s="649"/>
      <c r="C35" s="649"/>
      <c r="D35" s="649"/>
      <c r="E35" s="649"/>
      <c r="F35" s="649"/>
      <c r="G35" s="1112"/>
      <c r="H35" s="1111"/>
    </row>
    <row r="36" spans="2:10" ht="21" customHeight="1">
      <c r="B36" s="648"/>
      <c r="C36" s="648"/>
      <c r="D36" s="648"/>
      <c r="E36" s="648"/>
      <c r="F36" s="648"/>
      <c r="G36" s="601"/>
      <c r="H36" s="609"/>
    </row>
    <row r="37" spans="2:10" ht="21" customHeight="1">
      <c r="B37" s="648"/>
      <c r="C37" s="649"/>
      <c r="D37" s="648"/>
      <c r="E37" s="648"/>
      <c r="F37" s="672"/>
      <c r="G37" s="1113"/>
      <c r="H37" s="631"/>
    </row>
    <row r="38" spans="2:10" ht="21" customHeight="1" thickBot="1">
      <c r="B38" s="648"/>
      <c r="C38" s="648"/>
      <c r="D38" s="648"/>
      <c r="E38" s="648"/>
      <c r="F38" s="648"/>
      <c r="G38" s="631"/>
      <c r="H38" s="633"/>
    </row>
    <row r="39" spans="2:10" ht="21" customHeight="1" thickTop="1">
      <c r="B39" s="690"/>
      <c r="C39" s="690" t="s">
        <v>3407</v>
      </c>
      <c r="D39" s="690"/>
      <c r="E39" s="690"/>
      <c r="F39" s="690"/>
      <c r="G39" s="1121"/>
      <c r="H39" s="1216">
        <f>SUM(H30:H38)</f>
        <v>0</v>
      </c>
      <c r="I39" s="398" t="s">
        <v>997</v>
      </c>
    </row>
    <row r="40" spans="2:10" ht="21" customHeight="1">
      <c r="B40" s="1128" t="s">
        <v>3496</v>
      </c>
      <c r="C40" s="1128"/>
      <c r="D40" s="1128"/>
      <c r="E40" s="1128"/>
      <c r="F40" s="1128"/>
      <c r="G40" s="1123"/>
      <c r="H40" s="631"/>
    </row>
    <row r="41" spans="2:10" ht="21" customHeight="1">
      <c r="B41" s="648"/>
      <c r="C41" s="648"/>
      <c r="D41" s="648"/>
      <c r="E41" s="648"/>
      <c r="F41" s="648"/>
      <c r="G41" s="601"/>
      <c r="H41" s="609"/>
    </row>
    <row r="42" spans="2:10" ht="21" customHeight="1">
      <c r="B42" s="690" t="s">
        <v>777</v>
      </c>
      <c r="C42" s="690"/>
      <c r="D42" s="690"/>
      <c r="E42" s="690"/>
      <c r="F42" s="690"/>
      <c r="G42" s="689"/>
      <c r="H42" s="1124">
        <f>+'46-Utility1'!K27</f>
        <v>0</v>
      </c>
    </row>
    <row r="43" spans="2:10" ht="21" customHeight="1" thickBot="1">
      <c r="B43" s="690"/>
      <c r="C43" s="690"/>
      <c r="D43" s="690"/>
      <c r="E43" s="690"/>
      <c r="F43" s="690"/>
      <c r="G43" s="1129"/>
      <c r="H43" s="1130"/>
    </row>
    <row r="44" spans="2:10" ht="21" customHeight="1" thickBot="1">
      <c r="B44" s="690" t="s">
        <v>3497</v>
      </c>
      <c r="C44" s="690"/>
      <c r="D44" s="690"/>
      <c r="E44" s="690"/>
      <c r="F44" s="690"/>
      <c r="G44" s="1131">
        <f>SUM(G12:G43)</f>
        <v>0</v>
      </c>
      <c r="H44" s="1132">
        <f>SUM(H39:H43)</f>
        <v>0</v>
      </c>
      <c r="J44" s="399">
        <f>G44-H44</f>
        <v>0</v>
      </c>
    </row>
    <row r="45" spans="2:10" ht="13.8" thickTop="1">
      <c r="B45" s="1764" t="s">
        <v>127</v>
      </c>
      <c r="C45" s="1764"/>
      <c r="D45" s="1764"/>
      <c r="E45" s="1764"/>
      <c r="F45" s="1764"/>
      <c r="G45" s="1764"/>
      <c r="H45" s="1764"/>
    </row>
    <row r="46" spans="2:10">
      <c r="B46" s="400"/>
      <c r="C46" s="400"/>
      <c r="D46" s="400"/>
      <c r="E46" s="400"/>
      <c r="F46" s="400"/>
      <c r="G46" s="400"/>
      <c r="H46" s="400"/>
    </row>
    <row r="47" spans="2:10">
      <c r="B47" s="400"/>
      <c r="C47" s="400"/>
      <c r="D47" s="400"/>
      <c r="E47" s="400"/>
      <c r="F47" s="400"/>
      <c r="G47" s="400"/>
      <c r="H47" s="400"/>
    </row>
    <row r="48" spans="2:10">
      <c r="B48" s="400"/>
      <c r="C48" s="400"/>
      <c r="D48" s="400"/>
      <c r="E48" s="400"/>
      <c r="F48" s="400"/>
      <c r="G48" s="400"/>
      <c r="H48" s="400"/>
    </row>
    <row r="49" spans="2:8">
      <c r="B49" s="400"/>
      <c r="C49" s="400"/>
      <c r="D49" s="400"/>
      <c r="E49" s="400"/>
      <c r="F49" s="400"/>
      <c r="G49" s="400"/>
      <c r="H49" s="400"/>
    </row>
    <row r="50" spans="2:8" ht="13.8">
      <c r="B50" s="1765" t="s">
        <v>3405</v>
      </c>
      <c r="C50" s="1765"/>
      <c r="D50" s="1765"/>
      <c r="E50" s="1765"/>
      <c r="F50" s="1765"/>
      <c r="G50" s="1765"/>
      <c r="H50" s="1765"/>
    </row>
    <row r="54" spans="2:8">
      <c r="H54" s="399"/>
    </row>
    <row r="57" spans="2:8">
      <c r="H57" s="399">
        <f>+H44-G44</f>
        <v>0</v>
      </c>
    </row>
  </sheetData>
  <sheetProtection algorithmName="SHA-512" hashValue="CvrnubW76ZfXdB/JMSOaKf4ExZgAZ8tHEiFrA9IRdJC2vJFJwUoauvkCNYmvqzAdkLVvKELFmWCD5os/CTnYrg==" saltValue="LfXLFv11+BqYe0tYXdmLGQ==" spinCount="100000" sheet="1" objects="1" scenarios="1"/>
  <customSheetViews>
    <customSheetView guid="{AC653BD0-46E3-42CB-9C76-32121A57B65A}" topLeftCell="A19">
      <selection activeCell="H26" sqref="H26"/>
      <pageMargins left="0.25" right="0.25" top="0.5" bottom="0.5" header="0.25" footer="0.25"/>
      <pageSetup paperSize="5" orientation="portrait" r:id="rId1"/>
      <headerFooter alignWithMargins="0"/>
    </customSheetView>
    <customSheetView guid="{B165479B-DC25-403C-9595-F1A88A4AA9A2}" topLeftCell="A19">
      <selection activeCell="H26" sqref="H26"/>
      <pageMargins left="0.25" right="0.25" top="0.5" bottom="0.5" header="0.25" footer="0.25"/>
      <pageSetup paperSize="5" orientation="portrait" r:id="rId2"/>
      <headerFooter alignWithMargins="0"/>
    </customSheetView>
    <customSheetView guid="{A64E4C9E-A3DA-4AAA-8607-F524450B9436}" topLeftCell="A19">
      <selection activeCell="H26" sqref="H26"/>
      <pageMargins left="0.25" right="0.25" top="0.5" bottom="0.5" header="0.25" footer="0.25"/>
      <pageSetup paperSize="5" orientation="portrait" r:id="rId3"/>
      <headerFooter alignWithMargins="0"/>
    </customSheetView>
    <customSheetView guid="{AB4FBD91-4533-473A-9702-569FF6402073}" topLeftCell="A19">
      <selection activeCell="H26" sqref="H26"/>
      <pageMargins left="0.25" right="0.25" top="0.5" bottom="0.5" header="0.25" footer="0.25"/>
      <pageSetup paperSize="5" orientation="portrait" r:id="rId4"/>
      <headerFooter alignWithMargins="0"/>
    </customSheetView>
  </customSheetViews>
  <mergeCells count="11">
    <mergeCell ref="B11:F11"/>
    <mergeCell ref="B45:H45"/>
    <mergeCell ref="B50:H50"/>
    <mergeCell ref="B8:H8"/>
    <mergeCell ref="B9:H9"/>
    <mergeCell ref="B10:H10"/>
    <mergeCell ref="B2:H2"/>
    <mergeCell ref="B5:H5"/>
    <mergeCell ref="B6:H6"/>
    <mergeCell ref="B7:H7"/>
    <mergeCell ref="B3:H3"/>
  </mergeCells>
  <pageMargins left="0.25" right="0.25" top="0.5" bottom="0.5" header="0.25" footer="0.25"/>
  <pageSetup paperSize="5" orientation="portrait" r:id="rId5"/>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6">
    <tabColor theme="6" tint="0.39997558519241921"/>
  </sheetPr>
  <dimension ref="B2:Q55"/>
  <sheetViews>
    <sheetView zoomScaleNormal="100" zoomScaleSheetLayoutView="80" workbookViewId="0">
      <selection activeCell="B1" sqref="B1"/>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2" spans="2:17">
      <c r="B2" s="1769" t="s">
        <v>37</v>
      </c>
      <c r="C2" s="1769"/>
      <c r="D2" s="1769"/>
      <c r="E2" s="1769"/>
      <c r="F2" s="1769"/>
      <c r="G2" s="1769"/>
      <c r="H2" s="1769"/>
    </row>
    <row r="3" spans="2:17">
      <c r="B3" s="1769" t="s">
        <v>572</v>
      </c>
      <c r="C3" s="1769"/>
      <c r="D3" s="1769"/>
      <c r="E3" s="1769"/>
      <c r="F3" s="1769"/>
      <c r="G3" s="1769"/>
      <c r="H3" s="1769"/>
    </row>
    <row r="5" spans="2:17" ht="22.8">
      <c r="B5" s="1770" t="s">
        <v>543</v>
      </c>
      <c r="C5" s="1770"/>
      <c r="D5" s="1770"/>
      <c r="E5" s="1770"/>
      <c r="F5" s="1770"/>
      <c r="G5" s="1770"/>
      <c r="H5" s="1770"/>
    </row>
    <row r="6" spans="2:17" ht="22.8">
      <c r="B6" s="1759" t="str">
        <f>"TRIAL  BALANCE - "&amp;UPPER('KEY INPUTS'!D52)&amp;"  UTILITY  FUND (cont'd)"</f>
        <v>TRIAL  BALANCE -   UTILITY  FUND (cont'd)</v>
      </c>
      <c r="C6" s="1759"/>
      <c r="D6" s="1759"/>
      <c r="E6" s="1759"/>
      <c r="F6" s="1759"/>
      <c r="G6" s="1759"/>
      <c r="H6" s="1759"/>
    </row>
    <row r="7" spans="2:17" ht="15.6">
      <c r="B7" s="1771" t="str">
        <f>'KEY INPUTS'!D44</f>
        <v>AS  AT  DECEMBER  31, 2019</v>
      </c>
      <c r="C7" s="1772"/>
      <c r="D7" s="1772"/>
      <c r="E7" s="1772"/>
      <c r="F7" s="1772"/>
      <c r="G7" s="1772"/>
      <c r="H7" s="1772"/>
    </row>
    <row r="8" spans="2:17" ht="15.6">
      <c r="B8" s="1773" t="s">
        <v>573</v>
      </c>
      <c r="C8" s="1773"/>
      <c r="D8" s="1773"/>
      <c r="E8" s="1773"/>
      <c r="F8" s="1773"/>
      <c r="G8" s="1773"/>
      <c r="H8" s="1773"/>
    </row>
    <row r="9" spans="2:17">
      <c r="B9" s="1774" t="s">
        <v>79</v>
      </c>
      <c r="C9" s="1774"/>
      <c r="D9" s="1774"/>
      <c r="E9" s="1774"/>
      <c r="F9" s="1774"/>
      <c r="G9" s="1774"/>
      <c r="H9" s="1774"/>
    </row>
    <row r="10" spans="2:17" ht="15" customHeight="1" thickBot="1">
      <c r="B10" s="1775" t="s">
        <v>80</v>
      </c>
      <c r="C10" s="1775"/>
      <c r="D10" s="1775"/>
      <c r="E10" s="1775"/>
      <c r="F10" s="1775"/>
      <c r="G10" s="1775"/>
      <c r="H10" s="1775"/>
    </row>
    <row r="11" spans="2:17" ht="36" customHeight="1" thickTop="1" thickBot="1">
      <c r="B11" s="1776" t="s">
        <v>124</v>
      </c>
      <c r="C11" s="1776"/>
      <c r="D11" s="1776"/>
      <c r="E11" s="1776"/>
      <c r="F11" s="1777"/>
      <c r="G11" s="403" t="s">
        <v>125</v>
      </c>
      <c r="H11" s="1007" t="s">
        <v>126</v>
      </c>
    </row>
    <row r="12" spans="2:17" ht="21" customHeight="1" thickTop="1">
      <c r="G12" s="261"/>
      <c r="H12" s="262"/>
    </row>
    <row r="13" spans="2:17" ht="21" customHeight="1">
      <c r="B13" s="407" t="s">
        <v>808</v>
      </c>
      <c r="C13" s="402"/>
      <c r="D13" s="402"/>
      <c r="E13" s="402"/>
      <c r="F13" s="402"/>
      <c r="G13" s="292"/>
      <c r="H13" s="263"/>
      <c r="K13" s="322"/>
      <c r="L13" s="322"/>
      <c r="M13" s="322"/>
      <c r="N13" s="322"/>
      <c r="O13" s="322"/>
      <c r="P13" s="322"/>
      <c r="Q13" s="322"/>
    </row>
    <row r="14" spans="2:17" ht="21" customHeight="1">
      <c r="B14" s="402"/>
      <c r="C14" s="402"/>
      <c r="D14" s="402"/>
      <c r="E14" s="402"/>
      <c r="F14" s="402"/>
      <c r="G14" s="292"/>
      <c r="H14" s="263"/>
      <c r="K14" s="322"/>
      <c r="L14" s="322"/>
      <c r="M14" s="322"/>
      <c r="N14" s="322"/>
      <c r="O14" s="322"/>
      <c r="P14" s="322"/>
      <c r="Q14" s="322"/>
    </row>
    <row r="15" spans="2:17" ht="21" customHeight="1">
      <c r="B15" s="398" t="s">
        <v>251</v>
      </c>
      <c r="C15" s="402"/>
      <c r="D15" s="402"/>
      <c r="E15" s="402"/>
      <c r="F15" s="402"/>
      <c r="G15" s="372"/>
      <c r="H15" s="264" t="s">
        <v>787</v>
      </c>
      <c r="K15" s="377"/>
      <c r="L15" s="322"/>
      <c r="M15" s="322"/>
      <c r="N15" s="322"/>
      <c r="O15" s="322"/>
      <c r="P15" s="322"/>
      <c r="Q15" s="322"/>
    </row>
    <row r="16" spans="2:17" ht="21" customHeight="1">
      <c r="B16" s="402" t="s">
        <v>252</v>
      </c>
      <c r="C16" s="402"/>
      <c r="D16" s="402"/>
      <c r="E16" s="402"/>
      <c r="F16" s="402"/>
      <c r="G16" s="310" t="s">
        <v>787</v>
      </c>
      <c r="H16" s="311">
        <f>+G15</f>
        <v>0</v>
      </c>
      <c r="K16" s="322"/>
      <c r="L16" s="322"/>
      <c r="M16" s="322"/>
      <c r="N16" s="322"/>
      <c r="O16" s="322"/>
      <c r="P16" s="322"/>
      <c r="Q16" s="322"/>
    </row>
    <row r="17" spans="2:17" ht="21" customHeight="1">
      <c r="B17" s="402"/>
      <c r="C17" s="402"/>
      <c r="D17" s="402"/>
      <c r="E17" s="402"/>
      <c r="F17" s="402"/>
      <c r="G17" s="337"/>
      <c r="H17" s="311"/>
      <c r="K17" s="322"/>
      <c r="L17" s="322"/>
      <c r="M17" s="322"/>
      <c r="N17" s="322"/>
      <c r="O17" s="322"/>
      <c r="P17" s="322"/>
      <c r="Q17" s="322"/>
    </row>
    <row r="18" spans="2:17" ht="21" customHeight="1">
      <c r="B18" s="402"/>
      <c r="C18" s="402" t="s">
        <v>459</v>
      </c>
      <c r="D18" s="402"/>
      <c r="E18" s="402"/>
      <c r="F18" s="402"/>
      <c r="G18" s="372"/>
      <c r="H18" s="568"/>
      <c r="K18" s="322"/>
      <c r="L18" s="322"/>
      <c r="M18" s="322"/>
      <c r="N18" s="322"/>
      <c r="O18" s="322"/>
      <c r="P18" s="322"/>
      <c r="Q18" s="322"/>
    </row>
    <row r="19" spans="2:17" ht="21" customHeight="1">
      <c r="B19" s="402"/>
      <c r="C19" s="648"/>
      <c r="D19" s="648"/>
      <c r="E19" s="648"/>
      <c r="F19" s="648"/>
      <c r="G19" s="372"/>
      <c r="H19" s="568"/>
      <c r="K19" s="322"/>
      <c r="L19" s="322"/>
      <c r="M19" s="322"/>
      <c r="N19" s="322"/>
      <c r="O19" s="322"/>
      <c r="P19" s="322"/>
      <c r="Q19" s="322"/>
    </row>
    <row r="20" spans="2:17" ht="21" customHeight="1">
      <c r="B20" s="402"/>
      <c r="C20" s="402" t="s">
        <v>1153</v>
      </c>
      <c r="D20" s="402"/>
      <c r="E20" s="402"/>
      <c r="F20" s="402"/>
      <c r="G20" s="372"/>
      <c r="H20" s="568"/>
      <c r="K20" s="322"/>
      <c r="L20" s="322"/>
      <c r="M20" s="322"/>
      <c r="N20" s="322"/>
      <c r="O20" s="322"/>
      <c r="P20" s="322"/>
      <c r="Q20" s="322"/>
    </row>
    <row r="21" spans="2:17" ht="21" customHeight="1">
      <c r="B21" s="402"/>
      <c r="C21" s="402" t="s">
        <v>809</v>
      </c>
      <c r="D21" s="402"/>
      <c r="E21" s="402"/>
      <c r="F21" s="402"/>
      <c r="G21" s="337"/>
      <c r="H21" s="350"/>
      <c r="K21" s="322"/>
      <c r="L21" s="322"/>
      <c r="M21" s="322"/>
      <c r="N21" s="322"/>
      <c r="O21" s="322"/>
      <c r="P21" s="322"/>
      <c r="Q21" s="322"/>
    </row>
    <row r="22" spans="2:17" ht="21" customHeight="1">
      <c r="B22" s="402"/>
      <c r="C22" s="402"/>
      <c r="D22" s="402" t="s">
        <v>104</v>
      </c>
      <c r="E22" s="402"/>
      <c r="F22" s="402"/>
      <c r="G22" s="372"/>
      <c r="H22" s="568"/>
      <c r="K22" s="322"/>
      <c r="L22" s="322"/>
      <c r="M22" s="322"/>
      <c r="N22" s="322"/>
      <c r="O22" s="322"/>
      <c r="P22" s="322"/>
      <c r="Q22" s="322"/>
    </row>
    <row r="23" spans="2:17" ht="21" customHeight="1">
      <c r="B23" s="402"/>
      <c r="C23" s="402"/>
      <c r="D23" s="402" t="s">
        <v>837</v>
      </c>
      <c r="E23" s="402"/>
      <c r="F23" s="402"/>
      <c r="G23" s="372"/>
      <c r="H23" s="568"/>
      <c r="K23" s="322"/>
      <c r="L23" s="322"/>
      <c r="M23" s="322"/>
      <c r="N23" s="322"/>
      <c r="O23" s="322"/>
      <c r="P23" s="322"/>
      <c r="Q23" s="322"/>
    </row>
    <row r="24" spans="2:17" ht="21" customHeight="1">
      <c r="B24" s="402"/>
      <c r="C24" s="648"/>
      <c r="D24" s="648"/>
      <c r="E24" s="648"/>
      <c r="F24" s="648"/>
      <c r="G24" s="372"/>
      <c r="H24" s="589"/>
      <c r="K24" s="322"/>
      <c r="L24" s="322"/>
      <c r="M24" s="322"/>
      <c r="N24" s="322"/>
      <c r="O24" s="322"/>
      <c r="P24" s="322"/>
      <c r="Q24" s="322"/>
    </row>
    <row r="25" spans="2:17" ht="21" customHeight="1">
      <c r="B25" s="402"/>
      <c r="C25" s="648"/>
      <c r="D25" s="648"/>
      <c r="E25" s="648"/>
      <c r="F25" s="648"/>
      <c r="G25" s="372"/>
      <c r="H25" s="589" t="s">
        <v>3406</v>
      </c>
    </row>
    <row r="26" spans="2:17" ht="21" customHeight="1">
      <c r="B26" s="402"/>
      <c r="C26" s="649"/>
      <c r="D26" s="648"/>
      <c r="E26" s="648"/>
      <c r="F26" s="648"/>
      <c r="G26" s="372"/>
      <c r="H26" s="651"/>
    </row>
    <row r="27" spans="2:17" ht="21" customHeight="1">
      <c r="B27" s="402"/>
      <c r="C27" s="648"/>
      <c r="D27" s="648"/>
      <c r="E27" s="648"/>
      <c r="F27" s="648"/>
      <c r="G27" s="372"/>
      <c r="H27" s="589" t="s">
        <v>3406</v>
      </c>
    </row>
    <row r="28" spans="2:17" ht="21" customHeight="1">
      <c r="B28" s="402"/>
      <c r="C28" s="648"/>
      <c r="D28" s="648"/>
      <c r="E28" s="648"/>
      <c r="F28" s="648"/>
      <c r="G28" s="372"/>
      <c r="H28" s="589"/>
    </row>
    <row r="29" spans="2:17" ht="21" customHeight="1">
      <c r="B29" s="402"/>
      <c r="C29" s="648"/>
      <c r="D29" s="648"/>
      <c r="E29" s="648"/>
      <c r="F29" s="648"/>
      <c r="G29" s="372"/>
      <c r="H29" s="589"/>
      <c r="K29" s="322"/>
      <c r="L29" s="322"/>
      <c r="M29" s="322"/>
      <c r="N29" s="322"/>
      <c r="O29" s="322"/>
      <c r="P29" s="322"/>
      <c r="Q29" s="322"/>
    </row>
    <row r="30" spans="2:17" ht="21" customHeight="1">
      <c r="B30" s="402"/>
      <c r="C30" s="648"/>
      <c r="D30" s="648"/>
      <c r="E30" s="648"/>
      <c r="F30" s="648"/>
      <c r="G30" s="372"/>
      <c r="H30" s="589"/>
      <c r="K30" s="322"/>
      <c r="L30" s="322"/>
      <c r="M30" s="322"/>
      <c r="N30" s="322"/>
      <c r="O30" s="322"/>
      <c r="P30" s="322"/>
      <c r="Q30" s="322"/>
    </row>
    <row r="31" spans="2:17" ht="21" customHeight="1">
      <c r="B31" s="402"/>
      <c r="C31" s="648"/>
      <c r="D31" s="648"/>
      <c r="E31" s="648"/>
      <c r="F31" s="648"/>
      <c r="G31" s="372"/>
      <c r="H31" s="589" t="s">
        <v>3406</v>
      </c>
    </row>
    <row r="32" spans="2:17" ht="21" customHeight="1">
      <c r="B32" s="402"/>
      <c r="C32" s="649"/>
      <c r="D32" s="648"/>
      <c r="E32" s="648"/>
      <c r="F32" s="648"/>
      <c r="G32" s="372"/>
      <c r="H32" s="651"/>
    </row>
    <row r="33" spans="2:17" ht="21" customHeight="1">
      <c r="B33" s="402"/>
      <c r="C33" s="648"/>
      <c r="D33" s="648"/>
      <c r="E33" s="648"/>
      <c r="F33" s="648"/>
      <c r="G33" s="372"/>
      <c r="H33" s="589" t="s">
        <v>3406</v>
      </c>
    </row>
    <row r="34" spans="2:17" ht="21" customHeight="1">
      <c r="B34" s="402"/>
      <c r="C34" s="648"/>
      <c r="D34" s="648"/>
      <c r="E34" s="648"/>
      <c r="F34" s="648"/>
      <c r="G34" s="372"/>
      <c r="H34" s="589"/>
    </row>
    <row r="35" spans="2:17" ht="21" customHeight="1">
      <c r="B35" s="402"/>
      <c r="C35" s="648"/>
      <c r="D35" s="648"/>
      <c r="E35" s="648"/>
      <c r="F35" s="648"/>
      <c r="G35" s="372"/>
      <c r="H35" s="589"/>
      <c r="K35" s="322"/>
      <c r="L35" s="322"/>
      <c r="M35" s="322"/>
      <c r="N35" s="322"/>
      <c r="O35" s="322"/>
      <c r="P35" s="322"/>
      <c r="Q35" s="322"/>
    </row>
    <row r="36" spans="2:17" ht="21" customHeight="1">
      <c r="B36" s="402"/>
      <c r="C36" s="648"/>
      <c r="D36" s="648"/>
      <c r="E36" s="648"/>
      <c r="F36" s="648"/>
      <c r="G36" s="372"/>
      <c r="H36" s="589" t="s">
        <v>3406</v>
      </c>
    </row>
    <row r="37" spans="2:17" ht="21" customHeight="1">
      <c r="B37" s="402"/>
      <c r="C37" s="649"/>
      <c r="D37" s="648"/>
      <c r="E37" s="648"/>
      <c r="F37" s="648"/>
      <c r="G37" s="372"/>
      <c r="H37" s="651"/>
    </row>
    <row r="38" spans="2:17" ht="21" customHeight="1">
      <c r="B38" s="402"/>
      <c r="C38" s="648"/>
      <c r="D38" s="648"/>
      <c r="E38" s="648"/>
      <c r="F38" s="648"/>
      <c r="G38" s="372"/>
      <c r="H38" s="589" t="s">
        <v>3406</v>
      </c>
    </row>
    <row r="39" spans="2:17" ht="21" customHeight="1">
      <c r="B39" s="402"/>
      <c r="C39" s="648"/>
      <c r="D39" s="648"/>
      <c r="E39" s="648"/>
      <c r="F39" s="648"/>
      <c r="G39" s="372"/>
      <c r="H39" s="589"/>
    </row>
    <row r="40" spans="2:17" ht="21" customHeight="1">
      <c r="B40" s="402"/>
      <c r="C40" s="648"/>
      <c r="D40" s="648"/>
      <c r="E40" s="648"/>
      <c r="F40" s="648"/>
      <c r="G40" s="372"/>
      <c r="H40" s="589"/>
    </row>
    <row r="41" spans="2:17" ht="21" customHeight="1">
      <c r="B41" s="402"/>
      <c r="C41" s="648"/>
      <c r="D41" s="648"/>
      <c r="E41" s="648"/>
      <c r="F41" s="648"/>
      <c r="G41" s="372"/>
      <c r="H41" s="589" t="s">
        <v>3406</v>
      </c>
    </row>
    <row r="42" spans="2:17" ht="21" customHeight="1">
      <c r="B42" s="402"/>
      <c r="C42" s="648"/>
      <c r="D42" s="648"/>
      <c r="E42" s="648"/>
      <c r="F42" s="648"/>
      <c r="G42" s="372"/>
      <c r="H42" s="589" t="s">
        <v>3406</v>
      </c>
    </row>
    <row r="43" spans="2:17" ht="21" customHeight="1" thickBot="1">
      <c r="B43" s="402"/>
      <c r="C43" s="402"/>
      <c r="D43" s="402"/>
      <c r="E43" s="402"/>
      <c r="F43" s="402"/>
      <c r="G43" s="314"/>
      <c r="H43" s="405"/>
      <c r="I43" s="399"/>
      <c r="M43" s="399"/>
    </row>
    <row r="44" spans="2:17" ht="21" customHeight="1" thickBot="1">
      <c r="B44" s="402"/>
      <c r="C44" s="402" t="s">
        <v>3545</v>
      </c>
      <c r="D44" s="402"/>
      <c r="E44" s="402"/>
      <c r="F44" s="402"/>
      <c r="G44" s="343">
        <f>SUM(G15:G42)</f>
        <v>0</v>
      </c>
      <c r="H44" s="404">
        <f>SUM(H15:H43)</f>
        <v>0</v>
      </c>
      <c r="I44" s="399"/>
      <c r="K44" s="399"/>
    </row>
    <row r="45" spans="2:17" ht="13.8" thickTop="1">
      <c r="B45" s="1778" t="s">
        <v>127</v>
      </c>
      <c r="C45" s="1778"/>
      <c r="D45" s="1778"/>
      <c r="E45" s="1778"/>
      <c r="F45" s="1778"/>
      <c r="G45" s="1779"/>
      <c r="H45" s="1779"/>
    </row>
    <row r="46" spans="2:17">
      <c r="B46" s="400"/>
      <c r="C46" s="400"/>
      <c r="D46" s="400"/>
      <c r="E46" s="400"/>
      <c r="F46" s="400"/>
      <c r="G46" s="400"/>
      <c r="H46" s="400"/>
    </row>
    <row r="47" spans="2:17">
      <c r="B47" s="400"/>
      <c r="C47" s="400"/>
      <c r="D47" s="400"/>
      <c r="E47" s="400"/>
      <c r="F47" s="400"/>
      <c r="G47" s="400"/>
      <c r="H47" s="400"/>
    </row>
    <row r="48" spans="2:17">
      <c r="B48" s="400"/>
      <c r="C48" s="400"/>
      <c r="D48" s="400"/>
      <c r="E48" s="400"/>
      <c r="F48" s="400"/>
      <c r="G48" s="400"/>
      <c r="H48" s="400"/>
    </row>
    <row r="49" spans="2:8">
      <c r="B49" s="400"/>
      <c r="C49" s="400"/>
      <c r="D49" s="400"/>
      <c r="E49" s="400"/>
      <c r="F49" s="400"/>
      <c r="G49" s="400"/>
      <c r="H49" s="400"/>
    </row>
    <row r="50" spans="2:8" ht="13.8">
      <c r="B50" s="1765" t="s">
        <v>3411</v>
      </c>
      <c r="C50" s="1765"/>
      <c r="D50" s="1765"/>
      <c r="E50" s="1765"/>
      <c r="F50" s="1765"/>
      <c r="G50" s="1765"/>
      <c r="H50" s="1765"/>
    </row>
    <row r="55" spans="2:8">
      <c r="H55" s="399"/>
    </row>
  </sheetData>
  <sheetProtection algorithmName="SHA-512" hashValue="UYghL0j54PG9YTeY1h9uxdky3DcfDdnYTd9OPPQem/j4dglKgkpzA75HuoQmDUNoMWAOrTxMq7uOOwWVDuKsXg==" saltValue="XuevrPM1hvkeBOaS29u/Y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11">
    <mergeCell ref="B50:H50"/>
    <mergeCell ref="B8:H8"/>
    <mergeCell ref="B9:H9"/>
    <mergeCell ref="B10:H10"/>
    <mergeCell ref="B11:F11"/>
    <mergeCell ref="B45:H45"/>
    <mergeCell ref="B2:H2"/>
    <mergeCell ref="B5:H5"/>
    <mergeCell ref="B6:H6"/>
    <mergeCell ref="B7:H7"/>
    <mergeCell ref="B3:H3"/>
  </mergeCells>
  <pageMargins left="0.25" right="0.25" top="0.5" bottom="0.5" header="0.25" footer="0.25"/>
  <pageSetup paperSize="5" orientation="portrait" r:id="rId5"/>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7">
    <tabColor theme="6" tint="0.39997558519241921"/>
  </sheetPr>
  <dimension ref="B2:Q55"/>
  <sheetViews>
    <sheetView topLeftCell="B4" zoomScaleNormal="100" zoomScaleSheetLayoutView="80" workbookViewId="0">
      <selection activeCell="H23" sqref="H23"/>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2" spans="2:17">
      <c r="B2" s="1769" t="s">
        <v>37</v>
      </c>
      <c r="C2" s="1769"/>
      <c r="D2" s="1769"/>
      <c r="E2" s="1769"/>
      <c r="F2" s="1769"/>
      <c r="G2" s="1769"/>
      <c r="H2" s="1769"/>
    </row>
    <row r="3" spans="2:17">
      <c r="B3" s="1769" t="s">
        <v>572</v>
      </c>
      <c r="C3" s="1769"/>
      <c r="D3" s="1769"/>
      <c r="E3" s="1769"/>
      <c r="F3" s="1769"/>
      <c r="G3" s="1769"/>
      <c r="H3" s="1769"/>
    </row>
    <row r="5" spans="2:17" ht="22.8">
      <c r="B5" s="1770" t="s">
        <v>543</v>
      </c>
      <c r="C5" s="1770"/>
      <c r="D5" s="1770"/>
      <c r="E5" s="1770"/>
      <c r="F5" s="1770"/>
      <c r="G5" s="1770"/>
      <c r="H5" s="1770"/>
    </row>
    <row r="6" spans="2:17" ht="22.8">
      <c r="B6" s="1759" t="str">
        <f>"TRIAL  BALANCE - "&amp;UPPER('KEY INPUTS'!D52)&amp;"  UTILITY  FUND (cont'd)"</f>
        <v>TRIAL  BALANCE -   UTILITY  FUND (cont'd)</v>
      </c>
      <c r="C6" s="1759"/>
      <c r="D6" s="1759"/>
      <c r="E6" s="1759"/>
      <c r="F6" s="1759"/>
      <c r="G6" s="1759"/>
      <c r="H6" s="1759"/>
    </row>
    <row r="7" spans="2:17" ht="15.6">
      <c r="B7" s="1771" t="str">
        <f>'KEY INPUTS'!D44</f>
        <v>AS  AT  DECEMBER  31, 2019</v>
      </c>
      <c r="C7" s="1772"/>
      <c r="D7" s="1772"/>
      <c r="E7" s="1772"/>
      <c r="F7" s="1772"/>
      <c r="G7" s="1772"/>
      <c r="H7" s="1772"/>
    </row>
    <row r="8" spans="2:17" ht="15.6">
      <c r="B8" s="1773" t="s">
        <v>573</v>
      </c>
      <c r="C8" s="1773"/>
      <c r="D8" s="1773"/>
      <c r="E8" s="1773"/>
      <c r="F8" s="1773"/>
      <c r="G8" s="1773"/>
      <c r="H8" s="1773"/>
    </row>
    <row r="9" spans="2:17">
      <c r="B9" s="1774" t="s">
        <v>79</v>
      </c>
      <c r="C9" s="1774"/>
      <c r="D9" s="1774"/>
      <c r="E9" s="1774"/>
      <c r="F9" s="1774"/>
      <c r="G9" s="1774"/>
      <c r="H9" s="1774"/>
    </row>
    <row r="10" spans="2:17" ht="15" customHeight="1" thickBot="1">
      <c r="B10" s="1775" t="s">
        <v>80</v>
      </c>
      <c r="C10" s="1775"/>
      <c r="D10" s="1775"/>
      <c r="E10" s="1775"/>
      <c r="F10" s="1775"/>
      <c r="G10" s="1775"/>
      <c r="H10" s="1775"/>
    </row>
    <row r="11" spans="2:17" ht="36" customHeight="1" thickTop="1" thickBot="1">
      <c r="B11" s="1776" t="s">
        <v>124</v>
      </c>
      <c r="C11" s="1776"/>
      <c r="D11" s="1776"/>
      <c r="E11" s="1776"/>
      <c r="F11" s="1777"/>
      <c r="G11" s="403" t="s">
        <v>125</v>
      </c>
      <c r="H11" s="1007" t="s">
        <v>126</v>
      </c>
    </row>
    <row r="12" spans="2:17" ht="21" customHeight="1" thickTop="1">
      <c r="B12" s="402"/>
      <c r="C12" s="402" t="s">
        <v>3546</v>
      </c>
      <c r="D12" s="402"/>
      <c r="E12" s="402"/>
      <c r="F12" s="402"/>
      <c r="G12" s="337">
        <f>'41a-Utility1'!G44</f>
        <v>0</v>
      </c>
      <c r="H12" s="311">
        <f>'41a-Utility1'!H44</f>
        <v>0</v>
      </c>
    </row>
    <row r="13" spans="2:17" ht="21" customHeight="1">
      <c r="C13" s="649"/>
      <c r="D13" s="649"/>
      <c r="E13" s="649"/>
      <c r="F13" s="649"/>
      <c r="G13" s="601"/>
      <c r="H13" s="651"/>
    </row>
    <row r="14" spans="2:17" ht="21" customHeight="1">
      <c r="B14" s="407"/>
      <c r="C14" s="648"/>
      <c r="D14" s="648"/>
      <c r="E14" s="648"/>
      <c r="F14" s="648"/>
      <c r="G14" s="601"/>
      <c r="H14" s="609"/>
      <c r="K14" s="322"/>
      <c r="L14" s="322"/>
      <c r="M14" s="322"/>
      <c r="N14" s="322"/>
      <c r="O14" s="322"/>
      <c r="P14" s="322"/>
      <c r="Q14" s="322"/>
    </row>
    <row r="15" spans="2:17" ht="21" customHeight="1">
      <c r="B15" s="402"/>
      <c r="C15" s="648"/>
      <c r="D15" s="648"/>
      <c r="E15" s="648"/>
      <c r="F15" s="648"/>
      <c r="G15" s="601"/>
      <c r="H15" s="609"/>
      <c r="K15" s="322"/>
      <c r="L15" s="322"/>
      <c r="M15" s="322"/>
      <c r="N15" s="322"/>
      <c r="O15" s="322"/>
      <c r="P15" s="322"/>
      <c r="Q15" s="322"/>
    </row>
    <row r="16" spans="2:17" ht="21" customHeight="1">
      <c r="B16" s="402"/>
      <c r="C16" s="648"/>
      <c r="D16" s="648"/>
      <c r="E16" s="648"/>
      <c r="F16" s="648"/>
      <c r="G16" s="372"/>
      <c r="H16" s="589"/>
      <c r="K16" s="322"/>
      <c r="L16" s="322"/>
      <c r="M16" s="322"/>
      <c r="N16" s="322"/>
      <c r="O16" s="322"/>
      <c r="P16" s="322"/>
      <c r="Q16" s="322"/>
    </row>
    <row r="17" spans="2:17" ht="21" customHeight="1">
      <c r="B17" s="690"/>
      <c r="C17" s="690" t="s">
        <v>3414</v>
      </c>
      <c r="D17" s="690"/>
      <c r="E17" s="690"/>
      <c r="F17" s="690"/>
      <c r="G17" s="906"/>
      <c r="H17" s="913">
        <f>+'49-Utility1'!G22</f>
        <v>0</v>
      </c>
      <c r="K17" s="322"/>
      <c r="L17" s="322"/>
      <c r="M17" s="322"/>
      <c r="N17" s="322"/>
      <c r="O17" s="322"/>
      <c r="P17" s="322"/>
      <c r="Q17" s="322"/>
    </row>
    <row r="18" spans="2:17" ht="21" customHeight="1">
      <c r="B18" s="690"/>
      <c r="C18" s="690" t="s">
        <v>3678</v>
      </c>
      <c r="D18" s="690"/>
      <c r="E18" s="690"/>
      <c r="F18" s="690"/>
      <c r="G18" s="906"/>
      <c r="H18" s="913">
        <f>+'49a-Utility1'!G11+'49a-Utility1'!G22+'49a.1-Utility1'!G11+'49a.1-Utility1'!G22</f>
        <v>0</v>
      </c>
    </row>
    <row r="19" spans="2:17" ht="21" customHeight="1">
      <c r="B19" s="690"/>
      <c r="C19" s="690" t="s">
        <v>3688</v>
      </c>
      <c r="D19" s="690"/>
      <c r="E19" s="690"/>
      <c r="F19" s="690"/>
      <c r="G19" s="906"/>
      <c r="H19" s="913">
        <f>+'51a-Utility1'!G23</f>
        <v>0</v>
      </c>
      <c r="K19" s="322"/>
      <c r="L19" s="322"/>
      <c r="M19" s="322"/>
      <c r="N19" s="322"/>
      <c r="O19" s="322"/>
      <c r="P19" s="322"/>
      <c r="Q19" s="322"/>
    </row>
    <row r="20" spans="2:17" ht="21" customHeight="1">
      <c r="B20" s="690"/>
      <c r="C20" s="914" t="s">
        <v>3413</v>
      </c>
      <c r="D20" s="690"/>
      <c r="E20" s="690"/>
      <c r="F20" s="690"/>
      <c r="G20" s="906"/>
      <c r="H20" s="913">
        <f>+'50-Utility1'!G18</f>
        <v>0</v>
      </c>
      <c r="K20" s="322"/>
      <c r="L20" s="322"/>
      <c r="M20" s="322"/>
      <c r="N20" s="322"/>
      <c r="O20" s="322"/>
      <c r="P20" s="322"/>
      <c r="Q20" s="322"/>
    </row>
    <row r="21" spans="2:17" ht="21" customHeight="1">
      <c r="B21" s="690"/>
      <c r="C21" s="690" t="s">
        <v>1004</v>
      </c>
      <c r="D21" s="690"/>
      <c r="E21" s="690"/>
      <c r="F21" s="690"/>
      <c r="G21" s="906"/>
      <c r="H21" s="913" t="s">
        <v>3406</v>
      </c>
      <c r="K21" s="322"/>
      <c r="L21" s="322"/>
      <c r="M21" s="322"/>
      <c r="N21" s="322"/>
      <c r="O21" s="322"/>
      <c r="P21" s="322"/>
      <c r="Q21" s="322"/>
    </row>
    <row r="22" spans="2:17" ht="21" customHeight="1">
      <c r="B22" s="690"/>
      <c r="C22" s="690"/>
      <c r="D22" s="690" t="s">
        <v>1001</v>
      </c>
      <c r="E22" s="690"/>
      <c r="F22" s="690"/>
      <c r="G22" s="906"/>
      <c r="H22" s="913">
        <f>+'52-Totals-Utility 1'!K27</f>
        <v>0</v>
      </c>
      <c r="J22" s="399"/>
      <c r="K22" s="322"/>
      <c r="L22" s="322"/>
      <c r="M22" s="322"/>
      <c r="N22" s="322"/>
      <c r="O22" s="322"/>
      <c r="P22" s="322"/>
      <c r="Q22" s="322"/>
    </row>
    <row r="23" spans="2:17" ht="21" customHeight="1">
      <c r="B23" s="690"/>
      <c r="C23" s="690"/>
      <c r="D23" s="690" t="s">
        <v>1002</v>
      </c>
      <c r="E23" s="690"/>
      <c r="F23" s="690"/>
      <c r="G23" s="906"/>
      <c r="H23" s="913">
        <f>+'52-Totals-Utility 1'!L27</f>
        <v>0</v>
      </c>
      <c r="J23" s="399"/>
      <c r="K23" s="322"/>
      <c r="L23" s="322"/>
      <c r="M23" s="322"/>
      <c r="N23" s="322"/>
      <c r="O23" s="322"/>
      <c r="P23" s="322"/>
      <c r="Q23" s="322"/>
    </row>
    <row r="24" spans="2:17" ht="21" customHeight="1">
      <c r="B24" s="402"/>
      <c r="C24" s="648" t="s">
        <v>3412</v>
      </c>
      <c r="D24" s="648"/>
      <c r="E24" s="648"/>
      <c r="F24" s="648"/>
      <c r="G24" s="372"/>
      <c r="H24" s="568"/>
    </row>
    <row r="25" spans="2:17" ht="21" customHeight="1">
      <c r="B25" s="402"/>
      <c r="C25" s="648" t="s">
        <v>840</v>
      </c>
      <c r="D25" s="648"/>
      <c r="E25" s="648"/>
      <c r="F25" s="648"/>
      <c r="G25" s="372"/>
      <c r="H25" s="568"/>
    </row>
    <row r="26" spans="2:17" ht="21" customHeight="1">
      <c r="B26" s="402"/>
      <c r="C26" s="648" t="str">
        <f>"DUE TO "&amp;UPPER('KEY INPUTS'!D52)&amp;" OPERATING"</f>
        <v>DUE TO  OPERATING</v>
      </c>
      <c r="D26" s="648"/>
      <c r="E26" s="648"/>
      <c r="F26" s="648"/>
      <c r="G26" s="372"/>
      <c r="H26" s="568"/>
    </row>
    <row r="27" spans="2:17" ht="21" customHeight="1">
      <c r="B27" s="402"/>
      <c r="C27" s="648" t="s">
        <v>839</v>
      </c>
      <c r="D27" s="648"/>
      <c r="E27" s="648"/>
      <c r="F27" s="648"/>
      <c r="G27" s="372"/>
      <c r="H27" s="568"/>
    </row>
    <row r="28" spans="2:17" ht="21" customHeight="1">
      <c r="B28" s="402"/>
      <c r="C28" s="648" t="s">
        <v>838</v>
      </c>
      <c r="D28" s="648"/>
      <c r="E28" s="648"/>
      <c r="F28" s="648"/>
      <c r="G28" s="372"/>
      <c r="H28" s="568"/>
    </row>
    <row r="29" spans="2:17" ht="21" customHeight="1">
      <c r="B29" s="402"/>
      <c r="C29" s="648" t="s">
        <v>370</v>
      </c>
      <c r="D29" s="648"/>
      <c r="E29" s="648"/>
      <c r="F29" s="648"/>
      <c r="G29" s="372"/>
      <c r="H29" s="568"/>
    </row>
    <row r="30" spans="2:17" ht="21" customHeight="1">
      <c r="B30" s="402"/>
      <c r="C30" s="648"/>
      <c r="D30" s="648"/>
      <c r="E30" s="648"/>
      <c r="F30" s="648"/>
      <c r="G30" s="372"/>
      <c r="H30" s="589" t="s">
        <v>3406</v>
      </c>
    </row>
    <row r="31" spans="2:17" ht="21" customHeight="1">
      <c r="B31" s="402"/>
      <c r="C31" s="648"/>
      <c r="D31" s="648"/>
      <c r="E31" s="648"/>
      <c r="F31" s="648"/>
      <c r="G31" s="372"/>
      <c r="H31" s="589" t="s">
        <v>3406</v>
      </c>
    </row>
    <row r="32" spans="2:17" ht="21" customHeight="1">
      <c r="B32" s="402"/>
      <c r="C32" s="648"/>
      <c r="D32" s="648"/>
      <c r="E32" s="648"/>
      <c r="F32" s="648"/>
      <c r="G32" s="372"/>
      <c r="H32" s="651"/>
    </row>
    <row r="33" spans="2:13" ht="21" customHeight="1">
      <c r="B33" s="402"/>
      <c r="C33" s="648"/>
      <c r="D33" s="648"/>
      <c r="E33" s="648"/>
      <c r="F33" s="648"/>
      <c r="G33" s="372"/>
      <c r="H33" s="589" t="s">
        <v>3406</v>
      </c>
    </row>
    <row r="34" spans="2:13" ht="21" customHeight="1">
      <c r="B34" s="402"/>
      <c r="C34" s="648"/>
      <c r="D34" s="648"/>
      <c r="E34" s="648"/>
      <c r="F34" s="648"/>
      <c r="G34" s="372"/>
      <c r="H34" s="589"/>
    </row>
    <row r="35" spans="2:13" ht="21" customHeight="1">
      <c r="B35" s="402"/>
      <c r="C35" s="648"/>
      <c r="D35" s="648"/>
      <c r="E35" s="648"/>
      <c r="F35" s="648"/>
      <c r="G35" s="372"/>
      <c r="H35" s="589"/>
    </row>
    <row r="36" spans="2:13" ht="21" customHeight="1">
      <c r="B36" s="402"/>
      <c r="C36" s="648"/>
      <c r="D36" s="648"/>
      <c r="E36" s="648"/>
      <c r="F36" s="648"/>
      <c r="G36" s="372"/>
      <c r="H36" s="589" t="s">
        <v>3406</v>
      </c>
    </row>
    <row r="37" spans="2:13" ht="21" customHeight="1">
      <c r="B37" s="402"/>
      <c r="C37" s="648"/>
      <c r="D37" s="648"/>
      <c r="E37" s="648"/>
      <c r="F37" s="648"/>
      <c r="G37" s="372"/>
      <c r="H37" s="651"/>
    </row>
    <row r="38" spans="2:13" ht="21" customHeight="1">
      <c r="B38" s="402"/>
      <c r="C38" s="648"/>
      <c r="D38" s="648"/>
      <c r="E38" s="648"/>
      <c r="F38" s="648"/>
      <c r="G38" s="372"/>
      <c r="H38" s="589" t="s">
        <v>3406</v>
      </c>
    </row>
    <row r="39" spans="2:13" ht="21" customHeight="1">
      <c r="B39" s="402"/>
      <c r="C39" s="648"/>
      <c r="D39" s="648"/>
      <c r="E39" s="648"/>
      <c r="F39" s="648"/>
      <c r="G39" s="372"/>
      <c r="H39" s="589"/>
    </row>
    <row r="40" spans="2:13" ht="21" customHeight="1">
      <c r="B40" s="402"/>
      <c r="C40" s="402" t="s">
        <v>3480</v>
      </c>
      <c r="D40" s="402"/>
      <c r="E40" s="402"/>
      <c r="F40" s="402"/>
      <c r="G40" s="337"/>
      <c r="H40" s="311">
        <f>+'53-Utility1'!I41</f>
        <v>0</v>
      </c>
    </row>
    <row r="41" spans="2:13" ht="21" customHeight="1">
      <c r="B41" s="402"/>
      <c r="C41" s="402" t="s">
        <v>1005</v>
      </c>
      <c r="D41" s="402"/>
      <c r="E41" s="402"/>
      <c r="F41" s="402"/>
      <c r="G41" s="337"/>
      <c r="H41" s="311">
        <f>+'53-Utility1'!I24</f>
        <v>0</v>
      </c>
    </row>
    <row r="42" spans="2:13" ht="21" customHeight="1">
      <c r="B42" s="402"/>
      <c r="C42" s="402" t="s">
        <v>807</v>
      </c>
      <c r="D42" s="402"/>
      <c r="E42" s="402"/>
      <c r="F42" s="402"/>
      <c r="G42" s="337"/>
      <c r="H42" s="311">
        <f>+'54-Utility1'!I42</f>
        <v>0</v>
      </c>
    </row>
    <row r="43" spans="2:13" ht="21" customHeight="1" thickBot="1">
      <c r="B43" s="402"/>
      <c r="C43" s="402"/>
      <c r="D43" s="402"/>
      <c r="E43" s="402"/>
      <c r="F43" s="402"/>
      <c r="G43" s="314"/>
      <c r="H43" s="405"/>
      <c r="I43" s="399"/>
      <c r="M43" s="399"/>
    </row>
    <row r="44" spans="2:13" ht="21" customHeight="1" thickBot="1">
      <c r="B44" s="402"/>
      <c r="C44" s="402" t="s">
        <v>1000</v>
      </c>
      <c r="D44" s="402"/>
      <c r="E44" s="402"/>
      <c r="F44" s="402"/>
      <c r="G44" s="343">
        <f>SUM(G12:G42)</f>
        <v>0</v>
      </c>
      <c r="H44" s="404">
        <f>SUM(H12:H43)</f>
        <v>0</v>
      </c>
      <c r="I44" s="399"/>
      <c r="K44" s="399"/>
    </row>
    <row r="45" spans="2:13" ht="13.8" thickTop="1">
      <c r="B45" s="1778" t="s">
        <v>127</v>
      </c>
      <c r="C45" s="1778"/>
      <c r="D45" s="1778"/>
      <c r="E45" s="1778"/>
      <c r="F45" s="1778"/>
      <c r="G45" s="1779"/>
      <c r="H45" s="1779"/>
    </row>
    <row r="46" spans="2:13">
      <c r="B46" s="908"/>
      <c r="C46" s="908"/>
      <c r="D46" s="908"/>
      <c r="E46" s="908"/>
      <c r="F46" s="908"/>
      <c r="G46" s="908"/>
      <c r="H46" s="908"/>
    </row>
    <row r="47" spans="2:13">
      <c r="B47" s="908"/>
      <c r="C47" s="908"/>
      <c r="D47" s="908"/>
      <c r="E47" s="908"/>
      <c r="F47" s="908"/>
      <c r="G47" s="908"/>
      <c r="H47" s="908"/>
    </row>
    <row r="48" spans="2:13">
      <c r="B48" s="908"/>
      <c r="C48" s="908"/>
      <c r="D48" s="908"/>
      <c r="E48" s="908"/>
      <c r="F48" s="908"/>
      <c r="G48" s="908"/>
      <c r="H48" s="908"/>
    </row>
    <row r="49" spans="2:8">
      <c r="B49" s="908"/>
      <c r="C49" s="908"/>
      <c r="D49" s="908"/>
      <c r="E49" s="908"/>
      <c r="F49" s="908"/>
      <c r="G49" s="908"/>
      <c r="H49" s="908"/>
    </row>
    <row r="50" spans="2:8" ht="13.8">
      <c r="B50" s="1765" t="s">
        <v>3690</v>
      </c>
      <c r="C50" s="1765"/>
      <c r="D50" s="1765"/>
      <c r="E50" s="1765"/>
      <c r="F50" s="1765"/>
      <c r="G50" s="1765"/>
      <c r="H50" s="1765"/>
    </row>
    <row r="55" spans="2:8">
      <c r="H55" s="399"/>
    </row>
  </sheetData>
  <sheetProtection algorithmName="SHA-512" hashValue="ViB77j6oJ7CWA95vPk/dSrtekvQn9fR4o7WtbxYffT2ckFFd+nLcgLXZiR3+Y9rGJ/0Q6n6r42A1L3mFt2954g==" saltValue="9yqZUQxiCRWldE94cV74EQ==" spinCount="100000" sheet="1" objects="1" scenarios="1"/>
  <customSheetViews>
    <customSheetView guid="{AC653BD0-46E3-42CB-9C76-32121A57B65A}" topLeftCell="B4">
      <selection activeCell="H23" sqref="H23"/>
      <pageMargins left="0.25" right="0.25" top="0.5" bottom="0.5" header="0.25" footer="0.25"/>
      <pageSetup paperSize="5" orientation="portrait" r:id="rId1"/>
      <headerFooter alignWithMargins="0"/>
    </customSheetView>
    <customSheetView guid="{B165479B-DC25-403C-9595-F1A88A4AA9A2}" topLeftCell="B4">
      <selection activeCell="H23" sqref="H23"/>
      <pageMargins left="0.25" right="0.25" top="0.5" bottom="0.5" header="0.25" footer="0.25"/>
      <pageSetup paperSize="5" orientation="portrait" r:id="rId2"/>
      <headerFooter alignWithMargins="0"/>
    </customSheetView>
    <customSheetView guid="{A64E4C9E-A3DA-4AAA-8607-F524450B9436}" topLeftCell="B4">
      <selection activeCell="H23" sqref="H23"/>
      <pageMargins left="0.25" right="0.25" top="0.5" bottom="0.5" header="0.25" footer="0.25"/>
      <pageSetup paperSize="5" orientation="portrait" r:id="rId3"/>
      <headerFooter alignWithMargins="0"/>
    </customSheetView>
    <customSheetView guid="{AB4FBD91-4533-473A-9702-569FF6402073}" topLeftCell="B4">
      <selection activeCell="H23" sqref="H23"/>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8">
    <tabColor theme="6" tint="0.39997558519241921"/>
  </sheetPr>
  <dimension ref="B3:R49"/>
  <sheetViews>
    <sheetView topLeftCell="A22" zoomScaleNormal="100" zoomScaleSheetLayoutView="80" workbookViewId="0">
      <selection activeCell="H40" sqref="H40"/>
    </sheetView>
  </sheetViews>
  <sheetFormatPr defaultColWidth="9.109375" defaultRowHeight="13.2"/>
  <cols>
    <col min="1" max="1" width="4.6640625" style="331" customWidth="1"/>
    <col min="2" max="2" width="4.88671875" style="331" customWidth="1"/>
    <col min="3" max="4" width="4.6640625" style="331" customWidth="1"/>
    <col min="5" max="5" width="30.6640625" style="331" customWidth="1"/>
    <col min="6" max="6" width="15.6640625" style="331" customWidth="1"/>
    <col min="7" max="8" width="16.6640625" style="331" customWidth="1"/>
    <col min="9" max="16384" width="9.109375" style="331"/>
  </cols>
  <sheetData>
    <row r="3" spans="2:18" ht="22.8">
      <c r="B3" s="1782" t="s">
        <v>1043</v>
      </c>
      <c r="C3" s="1782"/>
      <c r="D3" s="1782"/>
      <c r="E3" s="1782"/>
      <c r="F3" s="1782"/>
      <c r="G3" s="1782"/>
      <c r="H3" s="1782"/>
    </row>
    <row r="4" spans="2:18" ht="22.8">
      <c r="B4" s="1782" t="s">
        <v>1044</v>
      </c>
      <c r="C4" s="1782"/>
      <c r="D4" s="1782"/>
      <c r="E4" s="1782"/>
      <c r="F4" s="1782"/>
      <c r="G4" s="1782"/>
      <c r="H4" s="1782"/>
    </row>
    <row r="5" spans="2:18" ht="15.6">
      <c r="B5" s="1783"/>
      <c r="C5" s="1783"/>
      <c r="D5" s="1783"/>
      <c r="E5" s="1783"/>
      <c r="F5" s="1783"/>
      <c r="G5" s="1783"/>
      <c r="H5" s="1783"/>
    </row>
    <row r="6" spans="2:18" ht="13.8">
      <c r="B6" s="1781" t="s">
        <v>1045</v>
      </c>
      <c r="C6" s="1781"/>
      <c r="D6" s="1781"/>
      <c r="E6" s="1781"/>
      <c r="F6" s="1781"/>
      <c r="G6" s="1781"/>
      <c r="H6" s="1781"/>
    </row>
    <row r="7" spans="2:18" ht="13.8">
      <c r="B7" s="1781" t="s">
        <v>1053</v>
      </c>
      <c r="C7" s="1781"/>
      <c r="D7" s="1781"/>
      <c r="E7" s="1781"/>
      <c r="F7" s="1781"/>
      <c r="G7" s="1781"/>
      <c r="H7" s="1781"/>
    </row>
    <row r="8" spans="2:18" ht="13.8">
      <c r="B8" s="1133"/>
      <c r="C8" s="1133"/>
      <c r="D8" s="1133"/>
      <c r="E8" s="1133"/>
      <c r="F8" s="1133"/>
      <c r="G8" s="1133"/>
      <c r="H8" s="1133"/>
    </row>
    <row r="9" spans="2:18" ht="15" customHeight="1" thickBot="1">
      <c r="B9" s="1784" t="str">
        <f>'KEY INPUTS'!D44</f>
        <v>AS  AT  DECEMBER  31, 2019</v>
      </c>
      <c r="C9" s="1783"/>
      <c r="D9" s="1783"/>
      <c r="E9" s="1783"/>
      <c r="F9" s="1783"/>
      <c r="G9" s="1783"/>
      <c r="H9" s="1783"/>
    </row>
    <row r="10" spans="2:18" ht="36" customHeight="1" thickTop="1" thickBot="1">
      <c r="B10" s="1785" t="s">
        <v>124</v>
      </c>
      <c r="C10" s="1785"/>
      <c r="D10" s="1785"/>
      <c r="E10" s="1785"/>
      <c r="F10" s="1786"/>
      <c r="G10" s="1134" t="s">
        <v>125</v>
      </c>
      <c r="H10" s="1135" t="s">
        <v>126</v>
      </c>
    </row>
    <row r="11" spans="2:18" ht="21" customHeight="1" thickTop="1">
      <c r="B11" s="1136" t="s">
        <v>459</v>
      </c>
      <c r="C11" s="1136"/>
      <c r="D11" s="1136"/>
      <c r="E11" s="1136"/>
      <c r="F11" s="1136"/>
      <c r="G11" s="650"/>
      <c r="H11" s="651"/>
      <c r="L11" s="322"/>
      <c r="M11" s="322"/>
      <c r="N11" s="322"/>
      <c r="O11" s="322"/>
      <c r="P11" s="322"/>
      <c r="Q11" s="322"/>
      <c r="R11" s="322"/>
    </row>
    <row r="12" spans="2:18" ht="21" customHeight="1">
      <c r="B12" s="648"/>
      <c r="C12" s="648"/>
      <c r="D12" s="648"/>
      <c r="E12" s="648"/>
      <c r="F12" s="648"/>
      <c r="G12" s="601"/>
      <c r="H12" s="609"/>
      <c r="L12" s="322"/>
      <c r="M12" s="322"/>
      <c r="N12" s="322"/>
      <c r="O12" s="322"/>
      <c r="P12" s="322"/>
      <c r="Q12" s="322"/>
      <c r="R12" s="322"/>
    </row>
    <row r="13" spans="2:18" ht="21" customHeight="1">
      <c r="B13" s="648"/>
      <c r="C13" s="648"/>
      <c r="D13" s="648"/>
      <c r="E13" s="648"/>
      <c r="F13" s="648"/>
      <c r="G13" s="601"/>
      <c r="H13" s="609"/>
      <c r="L13" s="377"/>
      <c r="M13" s="322"/>
      <c r="N13" s="322"/>
      <c r="O13" s="322"/>
      <c r="P13" s="322"/>
      <c r="Q13" s="322"/>
      <c r="R13" s="322"/>
    </row>
    <row r="14" spans="2:18" ht="21" customHeight="1">
      <c r="B14" s="648"/>
      <c r="C14" s="648"/>
      <c r="D14" s="648"/>
      <c r="E14" s="648"/>
      <c r="F14" s="648"/>
      <c r="G14" s="601"/>
      <c r="H14" s="609"/>
      <c r="L14" s="322"/>
      <c r="M14" s="322"/>
      <c r="N14" s="322"/>
      <c r="O14" s="322"/>
      <c r="P14" s="322"/>
      <c r="Q14" s="322"/>
      <c r="R14" s="322"/>
    </row>
    <row r="15" spans="2:18" ht="21" customHeight="1">
      <c r="B15" s="648"/>
      <c r="C15" s="648"/>
      <c r="D15" s="648"/>
      <c r="E15" s="648"/>
      <c r="F15" s="648"/>
      <c r="G15" s="601"/>
      <c r="H15" s="609"/>
      <c r="L15" s="322"/>
      <c r="M15" s="322"/>
      <c r="N15" s="322"/>
      <c r="O15" s="322"/>
      <c r="P15" s="322"/>
      <c r="Q15" s="322"/>
      <c r="R15" s="322"/>
    </row>
    <row r="16" spans="2:18" ht="21" customHeight="1">
      <c r="B16" s="648"/>
      <c r="C16" s="648"/>
      <c r="D16" s="648"/>
      <c r="E16" s="648"/>
      <c r="F16" s="648"/>
      <c r="G16" s="601"/>
      <c r="H16" s="609"/>
      <c r="L16" s="322"/>
      <c r="M16" s="322"/>
      <c r="N16" s="322"/>
      <c r="O16" s="322"/>
      <c r="P16" s="322"/>
      <c r="Q16" s="322"/>
      <c r="R16" s="322"/>
    </row>
    <row r="17" spans="2:18" ht="21" customHeight="1">
      <c r="B17" s="648"/>
      <c r="C17" s="648"/>
      <c r="D17" s="648"/>
      <c r="E17" s="648"/>
      <c r="F17" s="648"/>
      <c r="G17" s="601"/>
      <c r="H17" s="609"/>
      <c r="L17" s="322"/>
      <c r="M17" s="322"/>
      <c r="N17" s="322"/>
      <c r="O17" s="322"/>
      <c r="P17" s="322"/>
      <c r="Q17" s="322"/>
      <c r="R17" s="322"/>
    </row>
    <row r="18" spans="2:18" ht="21" customHeight="1">
      <c r="B18" s="648"/>
      <c r="C18" s="648"/>
      <c r="D18" s="648"/>
      <c r="E18" s="648"/>
      <c r="F18" s="648"/>
      <c r="G18" s="601"/>
      <c r="H18" s="609"/>
      <c r="L18" s="322"/>
      <c r="M18" s="322"/>
      <c r="N18" s="322"/>
      <c r="O18" s="322"/>
      <c r="P18" s="322"/>
      <c r="Q18" s="322"/>
      <c r="R18" s="322"/>
    </row>
    <row r="19" spans="2:18" ht="21" customHeight="1">
      <c r="B19" s="648"/>
      <c r="C19" s="648"/>
      <c r="D19" s="648"/>
      <c r="E19" s="648"/>
      <c r="F19" s="648"/>
      <c r="G19" s="601"/>
      <c r="H19" s="609"/>
      <c r="L19" s="322"/>
      <c r="M19" s="322"/>
      <c r="N19" s="322"/>
      <c r="O19" s="322"/>
      <c r="P19" s="322"/>
      <c r="Q19" s="322"/>
      <c r="R19" s="322"/>
    </row>
    <row r="20" spans="2:18" ht="21" customHeight="1">
      <c r="B20" s="648"/>
      <c r="C20" s="648"/>
      <c r="D20" s="648"/>
      <c r="E20" s="648"/>
      <c r="F20" s="648"/>
      <c r="G20" s="601"/>
      <c r="H20" s="609"/>
      <c r="L20" s="322"/>
      <c r="M20" s="322"/>
      <c r="N20" s="322"/>
      <c r="O20" s="322"/>
      <c r="P20" s="322"/>
      <c r="Q20" s="322"/>
      <c r="R20" s="322"/>
    </row>
    <row r="21" spans="2:18" ht="21" customHeight="1">
      <c r="B21" s="648"/>
      <c r="C21" s="648"/>
      <c r="D21" s="648"/>
      <c r="E21" s="648"/>
      <c r="F21" s="648"/>
      <c r="G21" s="601"/>
      <c r="H21" s="609"/>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L23" s="322"/>
      <c r="M23" s="322"/>
      <c r="N23" s="322"/>
      <c r="O23" s="322"/>
      <c r="P23" s="322"/>
      <c r="Q23" s="322"/>
      <c r="R23" s="322"/>
    </row>
    <row r="24" spans="2:18" ht="21" customHeight="1">
      <c r="B24" s="648"/>
      <c r="C24" s="648"/>
      <c r="D24" s="648"/>
      <c r="E24" s="648"/>
      <c r="F24" s="648"/>
      <c r="G24" s="601"/>
      <c r="H24" s="60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48"/>
      <c r="C26" s="648"/>
      <c r="D26" s="648"/>
      <c r="E26" s="648"/>
      <c r="F26" s="648"/>
      <c r="G26" s="601"/>
      <c r="H26" s="609"/>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648"/>
      <c r="C30" s="648"/>
      <c r="D30" s="648"/>
      <c r="E30" s="648"/>
      <c r="F30" s="648"/>
      <c r="G30" s="601"/>
      <c r="H30" s="609"/>
    </row>
    <row r="31" spans="2:18" ht="21" customHeight="1">
      <c r="B31" s="648"/>
      <c r="C31" s="648"/>
      <c r="D31" s="648"/>
      <c r="E31" s="648"/>
      <c r="F31" s="648"/>
      <c r="G31" s="601"/>
      <c r="H31" s="609"/>
    </row>
    <row r="32" spans="2:18" ht="21" customHeight="1">
      <c r="B32" s="648"/>
      <c r="C32" s="648"/>
      <c r="D32" s="648"/>
      <c r="E32" s="648"/>
      <c r="F32" s="648"/>
      <c r="G32" s="601"/>
      <c r="H32" s="609"/>
    </row>
    <row r="33" spans="2:8" ht="21" customHeight="1">
      <c r="B33" s="648"/>
      <c r="C33" s="648"/>
      <c r="D33" s="648"/>
      <c r="E33" s="648"/>
      <c r="F33" s="648"/>
      <c r="G33" s="601"/>
      <c r="H33" s="609"/>
    </row>
    <row r="34" spans="2:8" ht="21" customHeight="1">
      <c r="B34" s="648"/>
      <c r="C34" s="648"/>
      <c r="D34" s="648"/>
      <c r="E34" s="648"/>
      <c r="F34" s="648"/>
      <c r="G34" s="601"/>
      <c r="H34" s="609"/>
    </row>
    <row r="35" spans="2:8" ht="21" customHeight="1">
      <c r="B35" s="648"/>
      <c r="C35" s="648"/>
      <c r="D35" s="648"/>
      <c r="E35" s="648"/>
      <c r="F35" s="648"/>
      <c r="G35" s="601"/>
      <c r="H35" s="609"/>
    </row>
    <row r="36" spans="2:8" ht="21" customHeight="1">
      <c r="B36" s="648"/>
      <c r="C36" s="648"/>
      <c r="D36" s="648"/>
      <c r="E36" s="648"/>
      <c r="F36" s="648"/>
      <c r="G36" s="601"/>
      <c r="H36" s="609"/>
    </row>
    <row r="37" spans="2:8" ht="21" customHeight="1">
      <c r="B37" s="648"/>
      <c r="C37" s="648"/>
      <c r="D37" s="648"/>
      <c r="E37" s="648"/>
      <c r="F37" s="648"/>
      <c r="G37" s="601"/>
      <c r="H37" s="609"/>
    </row>
    <row r="38" spans="2:8" ht="21" customHeight="1">
      <c r="B38" s="1137" t="s">
        <v>3481</v>
      </c>
      <c r="C38" s="1137"/>
      <c r="D38" s="1137"/>
      <c r="E38" s="1137"/>
      <c r="F38" s="1137"/>
      <c r="G38" s="1138"/>
      <c r="H38" s="1126">
        <f>+'51-Utility1'!G23</f>
        <v>0</v>
      </c>
    </row>
    <row r="39" spans="2:8" ht="21" customHeight="1">
      <c r="B39" s="1137" t="s">
        <v>3482</v>
      </c>
      <c r="C39" s="1137"/>
      <c r="D39" s="1137"/>
      <c r="E39" s="1137"/>
      <c r="F39" s="1137"/>
      <c r="G39" s="1138"/>
      <c r="H39" s="1126">
        <f>+'49-Utility1'!G11</f>
        <v>0</v>
      </c>
    </row>
    <row r="40" spans="2:8" ht="21" customHeight="1">
      <c r="B40" s="1137" t="s">
        <v>999</v>
      </c>
      <c r="C40" s="1137"/>
      <c r="D40" s="1137"/>
      <c r="E40" s="1137"/>
      <c r="F40" s="1137"/>
      <c r="G40" s="1138"/>
      <c r="H40" s="1126">
        <f>'43-Utility1'!L20</f>
        <v>0</v>
      </c>
    </row>
    <row r="41" spans="2:8" ht="21" customHeight="1">
      <c r="B41" s="648"/>
      <c r="C41" s="648"/>
      <c r="D41" s="648"/>
      <c r="E41" s="648"/>
      <c r="F41" s="648"/>
      <c r="G41" s="601"/>
      <c r="H41" s="609"/>
    </row>
    <row r="42" spans="2:8" ht="21" customHeight="1">
      <c r="B42" s="648"/>
      <c r="C42" s="648"/>
      <c r="D42" s="648"/>
      <c r="E42" s="648"/>
      <c r="F42" s="648"/>
      <c r="G42" s="601"/>
      <c r="H42" s="609"/>
    </row>
    <row r="43" spans="2:8" ht="21" customHeight="1">
      <c r="B43" s="1139" t="s">
        <v>1000</v>
      </c>
      <c r="C43" s="1139"/>
      <c r="D43" s="1139"/>
      <c r="E43" s="1139"/>
      <c r="F43" s="1139"/>
      <c r="G43" s="1105">
        <f>SUM(G11:G42)</f>
        <v>0</v>
      </c>
      <c r="H43" s="1140">
        <f>SUM(H11:H42)</f>
        <v>0</v>
      </c>
    </row>
    <row r="44" spans="2:8">
      <c r="B44" s="1787" t="s">
        <v>127</v>
      </c>
      <c r="C44" s="1787"/>
      <c r="D44" s="1787"/>
      <c r="E44" s="1787"/>
      <c r="F44" s="1787"/>
      <c r="G44" s="1787"/>
      <c r="H44" s="1787"/>
    </row>
    <row r="45" spans="2:8">
      <c r="B45" s="1141"/>
      <c r="C45" s="1141"/>
      <c r="D45" s="1141"/>
      <c r="E45" s="1141"/>
      <c r="F45" s="1141"/>
      <c r="G45" s="1141"/>
      <c r="H45" s="1141"/>
    </row>
    <row r="46" spans="2:8">
      <c r="B46" s="1141"/>
      <c r="C46" s="1141"/>
      <c r="D46" s="1141"/>
      <c r="E46" s="1141"/>
      <c r="F46" s="1141"/>
      <c r="G46" s="1141"/>
      <c r="H46" s="1141"/>
    </row>
    <row r="47" spans="2:8">
      <c r="B47" s="1141"/>
      <c r="C47" s="1141"/>
      <c r="D47" s="1141"/>
      <c r="E47" s="1141"/>
      <c r="F47" s="1141"/>
      <c r="G47" s="1141"/>
      <c r="H47" s="1141"/>
    </row>
    <row r="48" spans="2:8">
      <c r="B48" s="1141"/>
      <c r="C48" s="1141"/>
      <c r="D48" s="1141"/>
      <c r="E48" s="1141"/>
      <c r="F48" s="1141"/>
      <c r="G48" s="1141"/>
      <c r="H48" s="1141"/>
    </row>
    <row r="49" spans="2:8" ht="13.8">
      <c r="B49" s="1780" t="s">
        <v>3415</v>
      </c>
      <c r="C49" s="1780"/>
      <c r="D49" s="1780"/>
      <c r="E49" s="1780"/>
      <c r="F49" s="1780"/>
      <c r="G49" s="1780"/>
      <c r="H49" s="1780"/>
    </row>
  </sheetData>
  <sheetProtection password="CAF9" sheet="1" objects="1" scenarios="1"/>
  <customSheetViews>
    <customSheetView guid="{AC653BD0-46E3-42CB-9C76-32121A57B65A}" topLeftCell="A22">
      <selection activeCell="H40" sqref="H40"/>
      <pageMargins left="0.25" right="0.25" top="0.5" bottom="0.5" header="0.25" footer="0.25"/>
      <pageSetup paperSize="5" orientation="portrait" r:id="rId1"/>
      <headerFooter alignWithMargins="0"/>
    </customSheetView>
    <customSheetView guid="{B165479B-DC25-403C-9595-F1A88A4AA9A2}" topLeftCell="A22">
      <selection activeCell="H40" sqref="H40"/>
      <pageMargins left="0.25" right="0.25" top="0.5" bottom="0.5" header="0.25" footer="0.25"/>
      <pageSetup paperSize="5" orientation="portrait" r:id="rId2"/>
      <headerFooter alignWithMargins="0"/>
    </customSheetView>
    <customSheetView guid="{A64E4C9E-A3DA-4AAA-8607-F524450B9436}" topLeftCell="A22">
      <selection activeCell="H40" sqref="H40"/>
      <pageMargins left="0.25" right="0.25" top="0.5" bottom="0.5" header="0.25" footer="0.25"/>
      <pageSetup paperSize="5" orientation="portrait" r:id="rId3"/>
      <headerFooter alignWithMargins="0"/>
    </customSheetView>
    <customSheetView guid="{AB4FBD91-4533-473A-9702-569FF6402073}" topLeftCell="A22">
      <selection activeCell="H40" sqref="H40"/>
      <pageMargins left="0.25" right="0.25" top="0.5" bottom="0.5" header="0.25" footer="0.25"/>
      <pageSetup paperSize="5" orientation="portrait" r:id="rId4"/>
      <headerFooter alignWithMargins="0"/>
    </customSheetView>
  </customSheetViews>
  <mergeCells count="9">
    <mergeCell ref="B49:H49"/>
    <mergeCell ref="B6:H6"/>
    <mergeCell ref="B7:H7"/>
    <mergeCell ref="B3:H3"/>
    <mergeCell ref="B4:H4"/>
    <mergeCell ref="B5:H5"/>
    <mergeCell ref="B9:H9"/>
    <mergeCell ref="B10:F10"/>
    <mergeCell ref="B44:H44"/>
  </mergeCells>
  <pageMargins left="0.25" right="0.25" top="0.5" bottom="0.5" header="0.25" footer="0.25"/>
  <pageSetup paperSize="5" orientation="portrait" r:id="rId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B3:K48"/>
  <sheetViews>
    <sheetView topLeftCell="A37" zoomScaleNormal="100" workbookViewId="0">
      <selection activeCell="B3" sqref="B3:O3"/>
    </sheetView>
  </sheetViews>
  <sheetFormatPr defaultRowHeight="13.2"/>
  <cols>
    <col min="1" max="1" width="4.6640625" customWidth="1"/>
    <col min="2" max="2" width="4.88671875" customWidth="1"/>
    <col min="3" max="4" width="4.6640625" customWidth="1"/>
    <col min="5" max="5" width="30.6640625" customWidth="1"/>
    <col min="6" max="6" width="15.6640625" customWidth="1"/>
    <col min="7" max="8" width="16.6640625" customWidth="1"/>
  </cols>
  <sheetData>
    <row r="3" spans="2:11" ht="22.8">
      <c r="B3" s="1549" t="s">
        <v>543</v>
      </c>
      <c r="C3" s="1549"/>
      <c r="D3" s="1549"/>
      <c r="E3" s="1549"/>
      <c r="F3" s="1549"/>
      <c r="G3" s="1549"/>
      <c r="H3" s="1549"/>
    </row>
    <row r="4" spans="2:11" ht="22.8">
      <c r="B4" s="1549" t="s">
        <v>696</v>
      </c>
      <c r="C4" s="1549"/>
      <c r="D4" s="1549"/>
      <c r="E4" s="1549"/>
      <c r="F4" s="1549"/>
      <c r="G4" s="1549"/>
      <c r="H4" s="1549"/>
    </row>
    <row r="5" spans="2:11" ht="17.399999999999999">
      <c r="B5" s="1560" t="s">
        <v>780</v>
      </c>
      <c r="C5" s="1560"/>
      <c r="D5" s="1560"/>
      <c r="E5" s="1560"/>
      <c r="F5" s="1560"/>
      <c r="G5" s="1560"/>
      <c r="H5" s="1560"/>
    </row>
    <row r="6" spans="2:11" ht="15.6">
      <c r="B6" s="1556" t="str">
        <f>'KEY INPUTS'!D44</f>
        <v>AS  AT  DECEMBER  31, 2019</v>
      </c>
      <c r="C6" s="1509"/>
      <c r="D6" s="1509"/>
      <c r="E6" s="1509"/>
      <c r="F6" s="1509"/>
      <c r="G6" s="1509"/>
      <c r="H6" s="1509"/>
    </row>
    <row r="7" spans="2:11" ht="13.8" thickBot="1"/>
    <row r="8" spans="2:11" ht="36" customHeight="1" thickTop="1" thickBot="1">
      <c r="B8" s="1553" t="s">
        <v>124</v>
      </c>
      <c r="C8" s="1553"/>
      <c r="D8" s="1553"/>
      <c r="E8" s="1553"/>
      <c r="F8" s="1554"/>
      <c r="G8" s="4" t="s">
        <v>125</v>
      </c>
      <c r="H8" s="3" t="s">
        <v>126</v>
      </c>
    </row>
    <row r="9" spans="2:11" ht="21" customHeight="1" thickTop="1">
      <c r="B9" s="839"/>
      <c r="C9" s="839"/>
      <c r="D9" s="839"/>
      <c r="E9" s="839"/>
      <c r="F9" s="839"/>
      <c r="G9" s="840"/>
      <c r="H9" s="841"/>
      <c r="I9" s="741"/>
    </row>
    <row r="10" spans="2:11" ht="21" customHeight="1">
      <c r="B10" s="843" t="s">
        <v>3515</v>
      </c>
      <c r="C10" s="640"/>
      <c r="D10" s="640"/>
      <c r="E10" s="640"/>
      <c r="F10" s="640"/>
      <c r="G10" s="842"/>
      <c r="H10" s="663"/>
    </row>
    <row r="11" spans="2:11" ht="21" customHeight="1">
      <c r="B11" s="640"/>
      <c r="C11" s="843" t="s">
        <v>459</v>
      </c>
      <c r="D11" s="640"/>
      <c r="E11" s="640"/>
      <c r="F11" s="640"/>
      <c r="G11" s="842">
        <f>+'9-Cash Reconciliation'!I12</f>
        <v>0</v>
      </c>
      <c r="H11" s="663"/>
      <c r="I11" s="741"/>
    </row>
    <row r="12" spans="2:11" ht="21" customHeight="1">
      <c r="B12" s="566"/>
      <c r="C12" s="567" t="s">
        <v>3477</v>
      </c>
      <c r="D12" s="566"/>
      <c r="E12" s="566"/>
      <c r="F12" s="566"/>
      <c r="G12" s="374"/>
      <c r="H12" s="578"/>
    </row>
    <row r="13" spans="2:11" ht="21" customHeight="1">
      <c r="B13" s="1563"/>
      <c r="C13" s="1563"/>
      <c r="D13" s="1563"/>
      <c r="E13" s="1563"/>
      <c r="F13" s="1564"/>
      <c r="G13" s="374"/>
      <c r="H13" s="578"/>
    </row>
    <row r="14" spans="2:11" ht="21" customHeight="1">
      <c r="B14" s="1563"/>
      <c r="C14" s="1563"/>
      <c r="D14" s="1563"/>
      <c r="E14" s="1563"/>
      <c r="F14" s="1564"/>
      <c r="G14" s="374"/>
      <c r="H14" s="578"/>
      <c r="K14" s="377"/>
    </row>
    <row r="15" spans="2:11" ht="21" customHeight="1">
      <c r="B15" s="1563"/>
      <c r="C15" s="1563"/>
      <c r="D15" s="1563"/>
      <c r="E15" s="1563"/>
      <c r="F15" s="1564"/>
      <c r="G15" s="374"/>
      <c r="H15" s="578"/>
    </row>
    <row r="16" spans="2:11" ht="21" customHeight="1" thickBot="1">
      <c r="B16" s="1563"/>
      <c r="C16" s="1563"/>
      <c r="D16" s="1563"/>
      <c r="E16" s="1563"/>
      <c r="F16" s="1564"/>
      <c r="G16" s="374"/>
      <c r="H16" s="578"/>
    </row>
    <row r="17" spans="2:8" ht="21" customHeight="1" thickTop="1" thickBot="1">
      <c r="B17" s="845"/>
      <c r="C17" s="835" t="s">
        <v>3511</v>
      </c>
      <c r="D17" s="845"/>
      <c r="E17" s="845"/>
      <c r="F17" s="845"/>
      <c r="G17" s="846">
        <f>SUM(G9:G16)</f>
        <v>0</v>
      </c>
      <c r="H17" s="850">
        <f>SUM(H9:H16)</f>
        <v>0</v>
      </c>
    </row>
    <row r="18" spans="2:8" ht="21" customHeight="1" thickTop="1">
      <c r="B18" s="640"/>
      <c r="C18" s="640"/>
      <c r="D18" s="640"/>
      <c r="E18" s="640"/>
      <c r="F18" s="640"/>
      <c r="G18" s="842"/>
      <c r="H18" s="663"/>
    </row>
    <row r="19" spans="2:8" ht="21" customHeight="1">
      <c r="B19" s="843" t="s">
        <v>3516</v>
      </c>
      <c r="C19" s="640"/>
      <c r="D19" s="640"/>
      <c r="E19" s="640"/>
      <c r="F19" s="640"/>
      <c r="G19" s="842"/>
      <c r="H19" s="663"/>
    </row>
    <row r="20" spans="2:8" ht="21" customHeight="1">
      <c r="B20" s="640"/>
      <c r="C20" s="843" t="s">
        <v>459</v>
      </c>
      <c r="D20" s="640"/>
      <c r="E20" s="640"/>
      <c r="F20" s="640"/>
      <c r="G20" s="842">
        <f>+'9-Cash Reconciliation'!I13</f>
        <v>3157559.72</v>
      </c>
      <c r="H20" s="663"/>
    </row>
    <row r="21" spans="2:8" ht="21" customHeight="1">
      <c r="B21" s="566"/>
      <c r="C21" s="566" t="s">
        <v>3823</v>
      </c>
      <c r="D21" s="566"/>
      <c r="E21" s="566"/>
      <c r="F21" s="566"/>
      <c r="G21" s="374"/>
      <c r="H21" s="578">
        <v>4050.72</v>
      </c>
    </row>
    <row r="22" spans="2:8" ht="21" customHeight="1">
      <c r="B22" s="566"/>
      <c r="C22" s="566" t="s">
        <v>3824</v>
      </c>
      <c r="D22" s="566"/>
      <c r="E22" s="566"/>
      <c r="F22" s="566"/>
      <c r="G22" s="374"/>
      <c r="H22" s="578">
        <f>3154259-750</f>
        <v>3153509</v>
      </c>
    </row>
    <row r="23" spans="2:8" ht="21" customHeight="1">
      <c r="B23" s="566"/>
      <c r="C23" s="566"/>
      <c r="D23" s="566"/>
      <c r="E23" s="566"/>
      <c r="F23" s="566"/>
      <c r="G23" s="374"/>
      <c r="H23" s="578"/>
    </row>
    <row r="24" spans="2:8" ht="21" customHeight="1">
      <c r="B24" s="566"/>
      <c r="C24" s="566"/>
      <c r="D24" s="566"/>
      <c r="E24" s="566"/>
      <c r="F24" s="566"/>
      <c r="G24" s="374"/>
      <c r="H24" s="578"/>
    </row>
    <row r="25" spans="2:8" ht="21" customHeight="1">
      <c r="B25" s="566"/>
      <c r="C25" s="566"/>
      <c r="D25" s="566"/>
      <c r="E25" s="566"/>
      <c r="F25" s="566"/>
      <c r="G25" s="374"/>
      <c r="H25" s="578"/>
    </row>
    <row r="26" spans="2:8" ht="21" customHeight="1">
      <c r="B26" s="566"/>
      <c r="C26" s="566"/>
      <c r="D26" s="566"/>
      <c r="E26" s="566"/>
      <c r="F26" s="566"/>
      <c r="G26" s="575"/>
      <c r="H26" s="578"/>
    </row>
    <row r="27" spans="2:8" s="322" customFormat="1" ht="21" customHeight="1">
      <c r="B27" s="566"/>
      <c r="C27" s="566"/>
      <c r="D27" s="566"/>
      <c r="E27" s="566"/>
      <c r="F27" s="566"/>
      <c r="G27" s="374"/>
      <c r="H27" s="578"/>
    </row>
    <row r="28" spans="2:8" s="322" customFormat="1" ht="21" customHeight="1">
      <c r="B28" s="566"/>
      <c r="C28" s="566"/>
      <c r="D28" s="566"/>
      <c r="E28" s="566"/>
      <c r="F28" s="566"/>
      <c r="G28" s="374"/>
      <c r="H28" s="578"/>
    </row>
    <row r="29" spans="2:8" s="322" customFormat="1" ht="21" customHeight="1">
      <c r="B29" s="566"/>
      <c r="C29" s="566"/>
      <c r="D29" s="566"/>
      <c r="E29" s="566"/>
      <c r="F29" s="566"/>
      <c r="G29" s="374"/>
      <c r="H29" s="578"/>
    </row>
    <row r="30" spans="2:8" s="322" customFormat="1" ht="21" customHeight="1">
      <c r="B30" s="566"/>
      <c r="C30" s="566"/>
      <c r="D30" s="566"/>
      <c r="E30" s="566"/>
      <c r="F30" s="566"/>
      <c r="G30" s="374"/>
      <c r="H30" s="578"/>
    </row>
    <row r="31" spans="2:8" ht="21" customHeight="1">
      <c r="B31" s="566"/>
      <c r="C31" s="566"/>
      <c r="D31" s="566"/>
      <c r="E31" s="566"/>
      <c r="F31" s="566"/>
      <c r="G31" s="374"/>
      <c r="H31" s="578"/>
    </row>
    <row r="32" spans="2:8" ht="21" customHeight="1">
      <c r="B32" s="566"/>
      <c r="C32" s="566"/>
      <c r="D32" s="566"/>
      <c r="E32" s="566"/>
      <c r="F32" s="566"/>
      <c r="G32" s="374"/>
      <c r="H32" s="578"/>
    </row>
    <row r="33" spans="2:8" ht="21" customHeight="1">
      <c r="B33" s="566"/>
      <c r="C33" s="566"/>
      <c r="D33" s="566"/>
      <c r="E33" s="566"/>
      <c r="F33" s="566"/>
      <c r="G33" s="374"/>
      <c r="H33" s="578"/>
    </row>
    <row r="34" spans="2:8" ht="21" customHeight="1">
      <c r="B34" s="566"/>
      <c r="C34" s="566"/>
      <c r="D34" s="566"/>
      <c r="E34" s="566"/>
      <c r="F34" s="566"/>
      <c r="G34" s="374"/>
      <c r="H34" s="578"/>
    </row>
    <row r="35" spans="2:8" ht="21" customHeight="1">
      <c r="B35" s="566"/>
      <c r="C35" s="566"/>
      <c r="D35" s="566"/>
      <c r="E35" s="566"/>
      <c r="F35" s="566"/>
      <c r="G35" s="374"/>
      <c r="H35" s="578"/>
    </row>
    <row r="36" spans="2:8" ht="21" customHeight="1">
      <c r="B36" s="566"/>
      <c r="C36" s="566"/>
      <c r="D36" s="566"/>
      <c r="E36" s="566"/>
      <c r="F36" s="566"/>
      <c r="G36" s="374"/>
      <c r="H36" s="578"/>
    </row>
    <row r="37" spans="2:8" ht="21" customHeight="1">
      <c r="B37" s="566"/>
      <c r="C37" s="566"/>
      <c r="D37" s="566"/>
      <c r="E37" s="566"/>
      <c r="F37" s="566"/>
      <c r="G37" s="374"/>
      <c r="H37" s="578"/>
    </row>
    <row r="38" spans="2:8" ht="21" customHeight="1">
      <c r="B38" s="566"/>
      <c r="C38" s="566"/>
      <c r="D38" s="566"/>
      <c r="E38" s="566"/>
      <c r="F38" s="566"/>
      <c r="G38" s="374"/>
      <c r="H38" s="578"/>
    </row>
    <row r="39" spans="2:8" ht="21" customHeight="1">
      <c r="B39" s="566"/>
      <c r="C39" s="566"/>
      <c r="D39" s="566"/>
      <c r="E39" s="566"/>
      <c r="F39" s="566"/>
      <c r="G39" s="374"/>
      <c r="H39" s="578"/>
    </row>
    <row r="40" spans="2:8" ht="21" customHeight="1">
      <c r="B40" s="566"/>
      <c r="C40" s="566"/>
      <c r="D40" s="566"/>
      <c r="E40" s="566"/>
      <c r="F40" s="566"/>
      <c r="G40" s="374"/>
      <c r="H40" s="578"/>
    </row>
    <row r="41" spans="2:8" ht="21" customHeight="1">
      <c r="B41" s="566"/>
      <c r="C41" s="566"/>
      <c r="D41" s="566"/>
      <c r="E41" s="566"/>
      <c r="F41" s="566"/>
      <c r="G41" s="374"/>
      <c r="H41" s="578"/>
    </row>
    <row r="42" spans="2:8" ht="21" customHeight="1">
      <c r="B42" s="566"/>
      <c r="C42" s="566"/>
      <c r="D42" s="566"/>
      <c r="E42" s="566"/>
      <c r="F42" s="566"/>
      <c r="G42" s="374"/>
      <c r="H42" s="578"/>
    </row>
    <row r="43" spans="2:8" ht="21" customHeight="1">
      <c r="B43" s="566"/>
      <c r="C43" s="566"/>
      <c r="D43" s="566"/>
      <c r="E43" s="566"/>
      <c r="F43" s="566"/>
      <c r="G43" s="374"/>
      <c r="H43" s="578"/>
    </row>
    <row r="44" spans="2:8" ht="21" customHeight="1">
      <c r="B44" s="843" t="s">
        <v>3532</v>
      </c>
      <c r="C44" s="640"/>
      <c r="D44" s="640"/>
      <c r="E44" s="640"/>
      <c r="F44" s="640"/>
      <c r="G44" s="842">
        <f>SUM(G20:G43)</f>
        <v>3157559.72</v>
      </c>
      <c r="H44" s="851">
        <f>SUM(H20:H43)</f>
        <v>3157559.72</v>
      </c>
    </row>
    <row r="45" spans="2:8">
      <c r="B45" s="1561" t="s">
        <v>127</v>
      </c>
      <c r="C45" s="1561"/>
      <c r="D45" s="1561"/>
      <c r="E45" s="1561"/>
      <c r="F45" s="1561"/>
      <c r="G45" s="1561"/>
      <c r="H45" s="1561"/>
    </row>
    <row r="46" spans="2:8">
      <c r="B46" s="852"/>
      <c r="C46" s="852"/>
      <c r="D46" s="852"/>
      <c r="E46" s="852"/>
      <c r="F46" s="852"/>
      <c r="G46" s="852"/>
      <c r="H46" s="852"/>
    </row>
    <row r="47" spans="2:8">
      <c r="B47" s="853"/>
      <c r="C47" s="853"/>
      <c r="D47" s="853"/>
      <c r="E47" s="853"/>
      <c r="F47" s="853"/>
      <c r="G47" s="853"/>
      <c r="H47" s="853"/>
    </row>
    <row r="48" spans="2:8" ht="13.8">
      <c r="B48" s="1562" t="s">
        <v>180</v>
      </c>
      <c r="C48" s="1562"/>
      <c r="D48" s="1562"/>
      <c r="E48" s="1562"/>
      <c r="F48" s="1562"/>
      <c r="G48" s="1562"/>
      <c r="H48" s="1562"/>
    </row>
  </sheetData>
  <sheetProtection algorithmName="SHA-512" hashValue="u2dblDc3oRR3skG2RbNqmZXtl3aYmoXcjkXCAP0NrS4o9w2Bu0YuHcFfUMpOx0irNMAfwRjmehGWIHV3pE+o8A==" saltValue="EEwTyxrJ7Jj5rSfkmXZ8e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topLeftCell="A31">
      <selection activeCell="H22" sqref="H22"/>
      <pageMargins left="0.25" right="0.25" top="0.5" bottom="0.5" header="0.25" footer="0.25"/>
      <pageSetup paperSize="5" orientation="portrait" r:id="rId2"/>
      <headerFooter alignWithMargins="0"/>
    </customSheetView>
    <customSheetView guid="{A64E4C9E-A3DA-4AAA-8607-F524450B9436}">
      <selection activeCell="K37" sqref="K37"/>
      <pageMargins left="0.25" right="0.25" top="0.5" bottom="0.5" header="0.25" footer="0.25"/>
      <pageSetup paperSize="5" orientation="portrait" r:id="rId3"/>
      <headerFooter alignWithMargins="0"/>
    </customSheetView>
    <customSheetView guid="{AB4FBD91-4533-473A-9702-569FF6402073}" topLeftCell="A22">
      <selection activeCell="D42" sqref="D42"/>
      <pageMargins left="0.25" right="0.25" top="0.5" bottom="0.5" header="0.25" footer="0.25"/>
      <pageSetup paperSize="5" orientation="portrait" r:id="rId4"/>
      <headerFooter alignWithMargins="0"/>
    </customSheetView>
  </customSheetViews>
  <mergeCells count="11">
    <mergeCell ref="B8:F8"/>
    <mergeCell ref="B45:H45"/>
    <mergeCell ref="B48:H48"/>
    <mergeCell ref="B3:H3"/>
    <mergeCell ref="B4:H4"/>
    <mergeCell ref="B6:H6"/>
    <mergeCell ref="B5:H5"/>
    <mergeCell ref="B13:F13"/>
    <mergeCell ref="B14:F14"/>
    <mergeCell ref="B15:F15"/>
    <mergeCell ref="B16:F16"/>
  </mergeCells>
  <phoneticPr fontId="0" type="noConversion"/>
  <pageMargins left="0.25" right="0.25" top="0.5" bottom="0.5" header="0.25" footer="0.25"/>
  <pageSetup paperSize="5" scale="77" orientation="portrait" r:id="rId5"/>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59">
    <tabColor theme="6" tint="0.39997558519241921"/>
  </sheetPr>
  <dimension ref="A2:V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0.6640625" style="331" customWidth="1"/>
    <col min="5" max="12" width="15.6640625" style="331" customWidth="1"/>
    <col min="13" max="16384" width="9.109375" style="331"/>
  </cols>
  <sheetData>
    <row r="2" spans="1:22" ht="20.399999999999999">
      <c r="B2" s="1788" t="str">
        <f>"ANALYSIS  OF "&amp;UPPER('KEY INPUTS'!D52)&amp;" UTILITY  ASSESSMENT  TRUST  CASH  AND  INVESTMENTS"</f>
        <v>ANALYSIS  OF  UTILITY  ASSESSMENT  TRUST  CASH  AND  INVESTMENTS</v>
      </c>
      <c r="C2" s="1788"/>
      <c r="D2" s="1788"/>
      <c r="E2" s="1788"/>
      <c r="F2" s="1788"/>
      <c r="G2" s="1788"/>
      <c r="H2" s="1788"/>
      <c r="I2" s="1788"/>
      <c r="J2" s="1788"/>
      <c r="K2" s="1788"/>
      <c r="L2" s="1788"/>
    </row>
    <row r="3" spans="1:22" ht="21" thickBot="1">
      <c r="B3" s="1788" t="s">
        <v>1054</v>
      </c>
      <c r="C3" s="1788"/>
      <c r="D3" s="1788"/>
      <c r="E3" s="1788"/>
      <c r="F3" s="1788"/>
      <c r="G3" s="1788"/>
      <c r="H3" s="1788"/>
      <c r="I3" s="1788"/>
      <c r="J3" s="1788"/>
      <c r="K3" s="1788"/>
      <c r="L3" s="1788"/>
    </row>
    <row r="4" spans="1:22" ht="13.8" thickTop="1">
      <c r="B4" s="1142"/>
      <c r="C4" s="1142"/>
      <c r="D4" s="1142"/>
      <c r="E4" s="1143" t="s">
        <v>670</v>
      </c>
      <c r="F4" s="1142"/>
      <c r="G4" s="1142"/>
      <c r="H4" s="1142"/>
      <c r="I4" s="1142"/>
      <c r="J4" s="1144"/>
      <c r="K4" s="1142"/>
      <c r="L4" s="1145"/>
    </row>
    <row r="5" spans="1:22" ht="15.6">
      <c r="B5" s="1146"/>
      <c r="C5" s="1146" t="s">
        <v>678</v>
      </c>
      <c r="D5" s="1146"/>
      <c r="E5" s="1147" t="s">
        <v>671</v>
      </c>
      <c r="F5" s="1789" t="s">
        <v>672</v>
      </c>
      <c r="G5" s="1790"/>
      <c r="H5" s="1790"/>
      <c r="I5" s="1791"/>
      <c r="J5" s="1148"/>
      <c r="K5" s="1146"/>
      <c r="L5" s="1149" t="s">
        <v>671</v>
      </c>
    </row>
    <row r="6" spans="1:22">
      <c r="B6" s="1146"/>
      <c r="C6" s="1146" t="s">
        <v>679</v>
      </c>
      <c r="D6" s="1146"/>
      <c r="E6" s="1150" t="str">
        <f>'KEY INPUTS'!D45</f>
        <v>Dec. 31, 2018</v>
      </c>
      <c r="F6" s="1147" t="s">
        <v>673</v>
      </c>
      <c r="G6" s="1147" t="s">
        <v>320</v>
      </c>
      <c r="H6" s="1148"/>
      <c r="I6" s="1148"/>
      <c r="J6" s="1148"/>
      <c r="K6" s="1151" t="s">
        <v>677</v>
      </c>
      <c r="L6" s="1152" t="str">
        <f>'KEY INPUTS'!D46</f>
        <v>Dec. 31, 2019</v>
      </c>
    </row>
    <row r="7" spans="1:22" ht="13.8" thickBot="1">
      <c r="B7" s="1153"/>
      <c r="C7" s="1153"/>
      <c r="D7" s="1153"/>
      <c r="E7" s="1154"/>
      <c r="F7" s="1155" t="s">
        <v>674</v>
      </c>
      <c r="G7" s="1155" t="s">
        <v>676</v>
      </c>
      <c r="H7" s="1154"/>
      <c r="I7" s="1154"/>
      <c r="J7" s="1154"/>
      <c r="K7" s="1156"/>
      <c r="L7" s="1157"/>
    </row>
    <row r="8" spans="1:22" ht="21" customHeight="1" thickTop="1">
      <c r="B8" s="1158" t="s">
        <v>781</v>
      </c>
      <c r="C8" s="1158"/>
      <c r="D8" s="1159"/>
      <c r="E8" s="1088" t="s">
        <v>787</v>
      </c>
      <c r="F8" s="1088" t="s">
        <v>787</v>
      </c>
      <c r="G8" s="1088" t="s">
        <v>787</v>
      </c>
      <c r="H8" s="1088" t="s">
        <v>787</v>
      </c>
      <c r="I8" s="1088" t="s">
        <v>787</v>
      </c>
      <c r="J8" s="1088" t="s">
        <v>787</v>
      </c>
      <c r="K8" s="1088" t="s">
        <v>787</v>
      </c>
      <c r="L8" s="867" t="s">
        <v>787</v>
      </c>
      <c r="P8" s="322"/>
      <c r="Q8" s="322"/>
      <c r="R8" s="322"/>
      <c r="S8" s="322"/>
      <c r="T8" s="322"/>
      <c r="U8" s="322"/>
      <c r="V8" s="322"/>
    </row>
    <row r="9" spans="1:22" ht="21" customHeight="1">
      <c r="B9" s="648"/>
      <c r="C9" s="648"/>
      <c r="D9" s="652"/>
      <c r="E9" s="601"/>
      <c r="F9" s="601"/>
      <c r="G9" s="601"/>
      <c r="H9" s="601"/>
      <c r="I9" s="601"/>
      <c r="J9" s="601"/>
      <c r="K9" s="601"/>
      <c r="L9" s="1081">
        <f>+E9+F9+G9+H9+I9+J9-K9</f>
        <v>0</v>
      </c>
      <c r="P9" s="322"/>
      <c r="Q9" s="322"/>
      <c r="R9" s="322"/>
      <c r="S9" s="322"/>
      <c r="T9" s="322"/>
      <c r="U9" s="322"/>
      <c r="V9" s="322"/>
    </row>
    <row r="10" spans="1:22" ht="21" customHeight="1">
      <c r="B10" s="648"/>
      <c r="C10" s="648"/>
      <c r="D10" s="652"/>
      <c r="E10" s="601"/>
      <c r="F10" s="601"/>
      <c r="G10" s="601"/>
      <c r="H10" s="601"/>
      <c r="I10" s="601"/>
      <c r="J10" s="601"/>
      <c r="K10" s="601"/>
      <c r="L10" s="1081">
        <f t="shared" ref="L10:L25" si="0">+E10+F10+G10+H10+I10+J10-K10</f>
        <v>0</v>
      </c>
      <c r="P10" s="377"/>
      <c r="Q10" s="322"/>
      <c r="R10" s="322"/>
      <c r="S10" s="322"/>
      <c r="T10" s="322"/>
      <c r="U10" s="322"/>
      <c r="V10" s="322"/>
    </row>
    <row r="11" spans="1:22" ht="21" customHeight="1">
      <c r="B11" s="648"/>
      <c r="C11" s="648"/>
      <c r="D11" s="652"/>
      <c r="E11" s="601"/>
      <c r="F11" s="601"/>
      <c r="G11" s="601"/>
      <c r="H11" s="601"/>
      <c r="I11" s="601"/>
      <c r="J11" s="601"/>
      <c r="K11" s="601"/>
      <c r="L11" s="1081">
        <f t="shared" si="0"/>
        <v>0</v>
      </c>
      <c r="P11" s="322"/>
      <c r="Q11" s="322"/>
      <c r="R11" s="322"/>
      <c r="S11" s="322"/>
      <c r="T11" s="322"/>
      <c r="U11" s="322"/>
      <c r="V11" s="322"/>
    </row>
    <row r="12" spans="1:22" ht="21" customHeight="1">
      <c r="B12" s="648"/>
      <c r="C12" s="648"/>
      <c r="D12" s="652"/>
      <c r="E12" s="601"/>
      <c r="F12" s="601"/>
      <c r="G12" s="601"/>
      <c r="H12" s="601"/>
      <c r="I12" s="601"/>
      <c r="J12" s="601"/>
      <c r="K12" s="601"/>
      <c r="L12" s="1081">
        <f t="shared" si="0"/>
        <v>0</v>
      </c>
      <c r="P12" s="322"/>
      <c r="Q12" s="322"/>
      <c r="R12" s="322"/>
      <c r="S12" s="322"/>
      <c r="T12" s="322"/>
      <c r="U12" s="322"/>
      <c r="V12" s="322"/>
    </row>
    <row r="13" spans="1:22" ht="21" customHeight="1">
      <c r="B13" s="648"/>
      <c r="C13" s="648"/>
      <c r="D13" s="652"/>
      <c r="E13" s="604"/>
      <c r="F13" s="601"/>
      <c r="G13" s="601"/>
      <c r="H13" s="601"/>
      <c r="I13" s="601"/>
      <c r="J13" s="601"/>
      <c r="K13" s="601"/>
      <c r="L13" s="1081">
        <f t="shared" si="0"/>
        <v>0</v>
      </c>
      <c r="P13" s="322"/>
      <c r="Q13" s="322"/>
      <c r="R13" s="322"/>
      <c r="S13" s="322"/>
      <c r="T13" s="322"/>
      <c r="U13" s="322"/>
      <c r="V13" s="322"/>
    </row>
    <row r="14" spans="1:22" ht="21" customHeight="1">
      <c r="B14" s="1139" t="s">
        <v>782</v>
      </c>
      <c r="C14" s="1139"/>
      <c r="D14" s="1165"/>
      <c r="E14" s="973" t="s">
        <v>787</v>
      </c>
      <c r="F14" s="973" t="s">
        <v>787</v>
      </c>
      <c r="G14" s="973" t="s">
        <v>787</v>
      </c>
      <c r="H14" s="973" t="s">
        <v>787</v>
      </c>
      <c r="I14" s="973" t="s">
        <v>787</v>
      </c>
      <c r="J14" s="973" t="s">
        <v>787</v>
      </c>
      <c r="K14" s="973" t="s">
        <v>787</v>
      </c>
      <c r="L14" s="869" t="s">
        <v>787</v>
      </c>
      <c r="P14" s="322"/>
      <c r="Q14" s="322"/>
      <c r="R14" s="322"/>
      <c r="S14" s="322"/>
      <c r="T14" s="322"/>
      <c r="U14" s="322"/>
      <c r="V14" s="322"/>
    </row>
    <row r="15" spans="1:22" ht="21" customHeight="1">
      <c r="A15" s="1792" t="s">
        <v>3416</v>
      </c>
      <c r="B15" s="648"/>
      <c r="C15" s="648"/>
      <c r="D15" s="652"/>
      <c r="E15" s="601"/>
      <c r="F15" s="601"/>
      <c r="G15" s="601"/>
      <c r="H15" s="601"/>
      <c r="I15" s="601"/>
      <c r="J15" s="601"/>
      <c r="K15" s="601"/>
      <c r="L15" s="1081">
        <f t="shared" si="0"/>
        <v>0</v>
      </c>
      <c r="P15" s="322"/>
      <c r="Q15" s="322"/>
      <c r="R15" s="322"/>
      <c r="S15" s="322"/>
      <c r="T15" s="322"/>
      <c r="U15" s="322"/>
      <c r="V15" s="322"/>
    </row>
    <row r="16" spans="1:22" ht="21" customHeight="1">
      <c r="A16" s="1792"/>
      <c r="B16" s="648"/>
      <c r="C16" s="648"/>
      <c r="D16" s="652"/>
      <c r="E16" s="601"/>
      <c r="F16" s="601"/>
      <c r="G16" s="601"/>
      <c r="H16" s="601"/>
      <c r="I16" s="601"/>
      <c r="J16" s="601"/>
      <c r="K16" s="601"/>
      <c r="L16" s="1081">
        <f t="shared" si="0"/>
        <v>0</v>
      </c>
      <c r="P16" s="322"/>
      <c r="Q16" s="322"/>
      <c r="R16" s="322"/>
      <c r="S16" s="322"/>
      <c r="T16" s="322"/>
      <c r="U16" s="322"/>
      <c r="V16" s="322"/>
    </row>
    <row r="17" spans="1:22" ht="21" customHeight="1">
      <c r="A17" s="1792"/>
      <c r="B17" s="648"/>
      <c r="C17" s="648"/>
      <c r="D17" s="652"/>
      <c r="E17" s="601"/>
      <c r="F17" s="601"/>
      <c r="G17" s="601"/>
      <c r="H17" s="601"/>
      <c r="I17" s="601"/>
      <c r="J17" s="601"/>
      <c r="K17" s="601"/>
      <c r="L17" s="1081">
        <f t="shared" si="0"/>
        <v>0</v>
      </c>
      <c r="P17" s="322"/>
      <c r="Q17" s="322"/>
      <c r="R17" s="322"/>
      <c r="S17" s="322"/>
      <c r="T17" s="322"/>
      <c r="U17" s="322"/>
      <c r="V17" s="322"/>
    </row>
    <row r="18" spans="1:22" ht="21" customHeight="1">
      <c r="B18" s="648"/>
      <c r="C18" s="648"/>
      <c r="D18" s="652"/>
      <c r="E18" s="601"/>
      <c r="F18" s="601"/>
      <c r="G18" s="601"/>
      <c r="H18" s="601"/>
      <c r="I18" s="601"/>
      <c r="J18" s="601"/>
      <c r="K18" s="601"/>
      <c r="L18" s="1081">
        <f t="shared" si="0"/>
        <v>0</v>
      </c>
      <c r="P18" s="322"/>
      <c r="Q18" s="322"/>
      <c r="R18" s="322"/>
      <c r="S18" s="322"/>
      <c r="T18" s="322"/>
      <c r="U18" s="322"/>
      <c r="V18" s="322"/>
    </row>
    <row r="19" spans="1:22" ht="21" customHeight="1">
      <c r="B19" s="1139" t="s">
        <v>783</v>
      </c>
      <c r="C19" s="1139"/>
      <c r="D19" s="1165"/>
      <c r="E19" s="601"/>
      <c r="F19" s="601"/>
      <c r="G19" s="601"/>
      <c r="H19" s="601"/>
      <c r="I19" s="601"/>
      <c r="J19" s="601"/>
      <c r="K19" s="601"/>
      <c r="L19" s="1081">
        <f t="shared" si="0"/>
        <v>0</v>
      </c>
      <c r="P19" s="322"/>
      <c r="Q19" s="322"/>
      <c r="R19" s="322"/>
      <c r="S19" s="322"/>
      <c r="T19" s="322"/>
      <c r="U19" s="322"/>
      <c r="V19" s="322"/>
    </row>
    <row r="20" spans="1:22" ht="21" customHeight="1">
      <c r="B20" s="1139" t="s">
        <v>784</v>
      </c>
      <c r="C20" s="1139"/>
      <c r="D20" s="1165"/>
      <c r="E20" s="601"/>
      <c r="F20" s="601"/>
      <c r="G20" s="601"/>
      <c r="H20" s="601"/>
      <c r="I20" s="601"/>
      <c r="J20" s="601"/>
      <c r="K20" s="601"/>
      <c r="L20" s="1081">
        <f t="shared" si="0"/>
        <v>0</v>
      </c>
      <c r="P20" s="322"/>
      <c r="Q20" s="322"/>
      <c r="R20" s="322"/>
      <c r="S20" s="322"/>
      <c r="T20" s="322"/>
      <c r="U20" s="322"/>
      <c r="V20" s="322"/>
    </row>
    <row r="21" spans="1:22" ht="21" customHeight="1">
      <c r="B21" s="1139" t="s">
        <v>321</v>
      </c>
      <c r="C21" s="1139"/>
      <c r="D21" s="1165"/>
      <c r="E21" s="973" t="s">
        <v>787</v>
      </c>
      <c r="F21" s="973" t="s">
        <v>787</v>
      </c>
      <c r="G21" s="973" t="s">
        <v>787</v>
      </c>
      <c r="H21" s="973" t="s">
        <v>787</v>
      </c>
      <c r="I21" s="973" t="s">
        <v>787</v>
      </c>
      <c r="J21" s="973" t="s">
        <v>787</v>
      </c>
      <c r="K21" s="973" t="s">
        <v>787</v>
      </c>
      <c r="L21" s="869" t="s">
        <v>787</v>
      </c>
      <c r="P21" s="322"/>
      <c r="Q21" s="322"/>
      <c r="R21" s="322"/>
      <c r="S21" s="322"/>
      <c r="T21" s="322"/>
      <c r="U21" s="322"/>
      <c r="V21" s="322"/>
    </row>
    <row r="22" spans="1:22" ht="21" customHeight="1">
      <c r="B22" s="648"/>
      <c r="C22" s="648"/>
      <c r="D22" s="652"/>
      <c r="E22" s="601"/>
      <c r="F22" s="601"/>
      <c r="G22" s="601"/>
      <c r="H22" s="601"/>
      <c r="I22" s="601"/>
      <c r="J22" s="601"/>
      <c r="K22" s="601"/>
      <c r="L22" s="1081">
        <f t="shared" si="0"/>
        <v>0</v>
      </c>
      <c r="P22" s="322"/>
      <c r="Q22" s="322"/>
      <c r="R22" s="322"/>
      <c r="S22" s="322"/>
      <c r="T22" s="322"/>
      <c r="U22" s="322"/>
      <c r="V22" s="322"/>
    </row>
    <row r="23" spans="1:22" ht="21" customHeight="1">
      <c r="B23" s="648"/>
      <c r="C23" s="648"/>
      <c r="D23" s="652"/>
      <c r="E23" s="601"/>
      <c r="F23" s="601"/>
      <c r="G23" s="601"/>
      <c r="H23" s="601"/>
      <c r="I23" s="601"/>
      <c r="J23" s="601"/>
      <c r="K23" s="601"/>
      <c r="L23" s="1081">
        <f t="shared" si="0"/>
        <v>0</v>
      </c>
      <c r="P23" s="322"/>
      <c r="Q23" s="322"/>
      <c r="R23" s="322"/>
      <c r="S23" s="322"/>
      <c r="T23" s="322"/>
      <c r="U23" s="322"/>
      <c r="V23" s="322"/>
    </row>
    <row r="24" spans="1:22" ht="21" customHeight="1">
      <c r="B24" s="648"/>
      <c r="C24" s="648"/>
      <c r="D24" s="652"/>
      <c r="E24" s="601"/>
      <c r="F24" s="601"/>
      <c r="G24" s="601"/>
      <c r="H24" s="601"/>
      <c r="I24" s="601"/>
      <c r="J24" s="601"/>
      <c r="K24" s="601"/>
      <c r="L24" s="1081">
        <f t="shared" si="0"/>
        <v>0</v>
      </c>
      <c r="P24" s="322"/>
      <c r="Q24" s="322"/>
      <c r="R24" s="322"/>
      <c r="S24" s="322"/>
      <c r="T24" s="322"/>
      <c r="U24" s="322"/>
      <c r="V24" s="322"/>
    </row>
    <row r="25" spans="1:22" ht="21" customHeight="1" thickBot="1">
      <c r="B25" s="648"/>
      <c r="C25" s="648"/>
      <c r="D25" s="652"/>
      <c r="E25" s="627"/>
      <c r="F25" s="627"/>
      <c r="G25" s="627"/>
      <c r="H25" s="627"/>
      <c r="I25" s="627"/>
      <c r="J25" s="627"/>
      <c r="K25" s="627"/>
      <c r="L25" s="1160">
        <f t="shared" si="0"/>
        <v>0</v>
      </c>
    </row>
    <row r="26" spans="1:22" ht="21" customHeight="1" thickTop="1" thickBot="1">
      <c r="B26" s="1162"/>
      <c r="C26" s="1162"/>
      <c r="D26" s="1163"/>
      <c r="E26" s="1083">
        <f t="shared" ref="E26:K26" si="1">SUM(E9:E25)</f>
        <v>0</v>
      </c>
      <c r="F26" s="1083">
        <f t="shared" si="1"/>
        <v>0</v>
      </c>
      <c r="G26" s="1083">
        <f t="shared" si="1"/>
        <v>0</v>
      </c>
      <c r="H26" s="1083">
        <f t="shared" si="1"/>
        <v>0</v>
      </c>
      <c r="I26" s="1083">
        <f t="shared" si="1"/>
        <v>0</v>
      </c>
      <c r="J26" s="1083">
        <f t="shared" si="1"/>
        <v>0</v>
      </c>
      <c r="K26" s="1083">
        <f t="shared" si="1"/>
        <v>0</v>
      </c>
      <c r="L26" s="1161">
        <f>SUM(L9:L25)</f>
        <v>0</v>
      </c>
    </row>
    <row r="27" spans="1:22" ht="13.8" thickTop="1">
      <c r="B27" s="1164" t="s">
        <v>786</v>
      </c>
      <c r="C27" s="1146"/>
      <c r="D27" s="1146"/>
      <c r="E27" s="1146"/>
      <c r="F27" s="1146"/>
      <c r="G27" s="1146"/>
      <c r="H27" s="1146"/>
      <c r="I27" s="1146"/>
      <c r="J27" s="1146"/>
      <c r="K27" s="1146"/>
      <c r="L27" s="1146"/>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4">
    <mergeCell ref="B2:L2"/>
    <mergeCell ref="B3:L3"/>
    <mergeCell ref="F5:I5"/>
    <mergeCell ref="A15:A17"/>
  </mergeCells>
  <pageMargins left="0.25" right="0.25" top="0.5" bottom="0.5" header="0.25" footer="0.25"/>
  <pageSetup paperSize="5" orientation="landscape" r:id="rId5"/>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0">
    <tabColor theme="6" tint="0.39997558519241921"/>
  </sheetPr>
  <dimension ref="B2:T55"/>
  <sheetViews>
    <sheetView zoomScaleNormal="100" zoomScaleSheetLayoutView="80" workbookViewId="0">
      <selection activeCell="B14" sqref="B14"/>
    </sheetView>
  </sheetViews>
  <sheetFormatPr defaultColWidth="8.88671875" defaultRowHeight="13.2"/>
  <cols>
    <col min="1" max="1" width="4.6640625" style="398" customWidth="1"/>
    <col min="2" max="3" width="3.6640625" style="398" customWidth="1"/>
    <col min="4" max="4" width="4.6640625" style="398" customWidth="1"/>
    <col min="5" max="5" width="8.88671875" style="398"/>
    <col min="6" max="6" width="16.6640625" style="398" customWidth="1"/>
    <col min="7" max="7" width="8.6640625" style="398" customWidth="1"/>
    <col min="8" max="10" width="16.6640625" style="398" customWidth="1"/>
    <col min="11" max="11" width="8.88671875" style="398"/>
    <col min="12" max="12" width="11.33203125" style="398" bestFit="1" customWidth="1"/>
    <col min="13" max="16384" width="8.88671875" style="398"/>
  </cols>
  <sheetData>
    <row r="2" spans="2:20" ht="22.8">
      <c r="B2" s="1759" t="str">
        <f>"SCHEDULE  OF "&amp;UPPER('KEY INPUTS'!D52)&amp;" UTILITY  BUDGET  -  "&amp;TEXT('KEY INPUTS'!D34,"0")&amp;""</f>
        <v>SCHEDULE  OF  UTILITY  BUDGET  -  2019</v>
      </c>
      <c r="C2" s="1759"/>
      <c r="D2" s="1759"/>
      <c r="E2" s="1759"/>
      <c r="F2" s="1759"/>
      <c r="G2" s="1759"/>
      <c r="H2" s="1759"/>
      <c r="I2" s="1759"/>
      <c r="J2" s="1759"/>
    </row>
    <row r="3" spans="2:20" ht="12" customHeight="1">
      <c r="B3" s="462"/>
      <c r="C3" s="462"/>
      <c r="D3" s="462"/>
      <c r="E3" s="462"/>
      <c r="F3" s="462"/>
      <c r="G3" s="462"/>
      <c r="H3" s="462"/>
      <c r="I3" s="462"/>
      <c r="J3" s="462"/>
    </row>
    <row r="4" spans="2:20" ht="17.25" customHeight="1" thickBot="1">
      <c r="B4" s="1797" t="s">
        <v>1055</v>
      </c>
      <c r="C4" s="1797"/>
      <c r="D4" s="1797"/>
      <c r="E4" s="1797"/>
      <c r="F4" s="1797"/>
      <c r="G4" s="1797"/>
      <c r="H4" s="1797"/>
      <c r="I4" s="1797"/>
      <c r="J4" s="1797"/>
    </row>
    <row r="5" spans="2:20" ht="13.8" thickTop="1">
      <c r="B5" s="1793" t="s">
        <v>211</v>
      </c>
      <c r="C5" s="1793"/>
      <c r="D5" s="1793"/>
      <c r="E5" s="1793"/>
      <c r="F5" s="1793"/>
      <c r="G5" s="1794"/>
      <c r="H5" s="461" t="s">
        <v>676</v>
      </c>
      <c r="I5" s="461" t="s">
        <v>803</v>
      </c>
      <c r="J5" s="460" t="s">
        <v>424</v>
      </c>
    </row>
    <row r="6" spans="2:20" ht="13.8" thickBot="1">
      <c r="B6" s="1795"/>
      <c r="C6" s="1795"/>
      <c r="D6" s="1795"/>
      <c r="E6" s="1795"/>
      <c r="F6" s="1795"/>
      <c r="G6" s="1796"/>
      <c r="H6" s="459"/>
      <c r="I6" s="459" t="s">
        <v>423</v>
      </c>
      <c r="J6" s="458" t="s">
        <v>425</v>
      </c>
    </row>
    <row r="7" spans="2:20" ht="21" customHeight="1" thickTop="1">
      <c r="B7" s="457" t="s">
        <v>3433</v>
      </c>
      <c r="C7" s="457"/>
      <c r="D7" s="457"/>
      <c r="E7" s="457"/>
      <c r="F7" s="457"/>
      <c r="G7" s="456" t="s">
        <v>3432</v>
      </c>
      <c r="H7" s="605"/>
      <c r="I7" s="455">
        <f>H7</f>
        <v>0</v>
      </c>
      <c r="J7" s="454">
        <f>+I7-H7</f>
        <v>0</v>
      </c>
    </row>
    <row r="8" spans="2:20" ht="10.5" customHeight="1">
      <c r="B8" s="427" t="s">
        <v>3431</v>
      </c>
      <c r="G8" s="1009"/>
      <c r="H8" s="452"/>
      <c r="I8" s="452"/>
      <c r="J8" s="262"/>
    </row>
    <row r="9" spans="2:20">
      <c r="B9" s="451" t="s">
        <v>214</v>
      </c>
      <c r="C9" s="451"/>
      <c r="D9" s="451"/>
      <c r="E9" s="451"/>
      <c r="F9" s="451"/>
      <c r="G9" s="446" t="s">
        <v>3430</v>
      </c>
      <c r="H9" s="653"/>
      <c r="I9" s="653"/>
      <c r="J9" s="251">
        <f t="shared" ref="J9:J15" si="0">+I9-H9</f>
        <v>0</v>
      </c>
    </row>
    <row r="10" spans="2:20" ht="21" customHeight="1">
      <c r="B10" s="648"/>
      <c r="C10" s="648"/>
      <c r="D10" s="648"/>
      <c r="E10" s="648"/>
      <c r="F10" s="648"/>
      <c r="G10" s="1166"/>
      <c r="H10" s="780"/>
      <c r="I10" s="780"/>
      <c r="J10" s="450">
        <f t="shared" si="0"/>
        <v>0</v>
      </c>
      <c r="N10" s="322"/>
      <c r="O10" s="322"/>
      <c r="P10" s="322"/>
      <c r="Q10" s="322"/>
      <c r="R10" s="322"/>
      <c r="S10" s="322"/>
      <c r="T10" s="322"/>
    </row>
    <row r="11" spans="2:20" ht="21" customHeight="1">
      <c r="B11" s="648"/>
      <c r="C11" s="648"/>
      <c r="D11" s="648"/>
      <c r="E11" s="648"/>
      <c r="F11" s="648"/>
      <c r="G11" s="1166"/>
      <c r="H11" s="780"/>
      <c r="I11" s="780"/>
      <c r="J11" s="263">
        <f t="shared" si="0"/>
        <v>0</v>
      </c>
      <c r="N11" s="322"/>
      <c r="O11" s="322"/>
      <c r="P11" s="322"/>
      <c r="Q11" s="322"/>
      <c r="R11" s="322"/>
      <c r="S11" s="322"/>
      <c r="T11" s="322"/>
    </row>
    <row r="12" spans="2:20" ht="21" customHeight="1">
      <c r="B12" s="648"/>
      <c r="C12" s="648"/>
      <c r="D12" s="648"/>
      <c r="E12" s="648"/>
      <c r="F12" s="648"/>
      <c r="G12" s="1166"/>
      <c r="H12" s="780"/>
      <c r="I12" s="780"/>
      <c r="J12" s="263">
        <f t="shared" si="0"/>
        <v>0</v>
      </c>
      <c r="N12" s="377"/>
      <c r="O12" s="322"/>
      <c r="P12" s="322"/>
      <c r="Q12" s="322"/>
      <c r="R12" s="322"/>
      <c r="S12" s="322"/>
      <c r="T12" s="322"/>
    </row>
    <row r="13" spans="2:20" ht="21" customHeight="1">
      <c r="B13" s="648"/>
      <c r="C13" s="648"/>
      <c r="D13" s="648"/>
      <c r="E13" s="648"/>
      <c r="F13" s="648"/>
      <c r="G13" s="1166"/>
      <c r="H13" s="780"/>
      <c r="I13" s="780"/>
      <c r="J13" s="263">
        <f t="shared" si="0"/>
        <v>0</v>
      </c>
      <c r="N13" s="322"/>
      <c r="O13" s="322"/>
      <c r="P13" s="322"/>
      <c r="Q13" s="322"/>
      <c r="R13" s="322"/>
      <c r="S13" s="322"/>
      <c r="T13" s="322"/>
    </row>
    <row r="14" spans="2:20" ht="21" customHeight="1">
      <c r="B14" s="648"/>
      <c r="C14" s="648"/>
      <c r="D14" s="648"/>
      <c r="E14" s="648"/>
      <c r="F14" s="648"/>
      <c r="G14" s="1166"/>
      <c r="H14" s="780"/>
      <c r="I14" s="780"/>
      <c r="J14" s="263">
        <f t="shared" si="0"/>
        <v>0</v>
      </c>
      <c r="N14" s="322"/>
      <c r="O14" s="322"/>
      <c r="P14" s="322"/>
      <c r="Q14" s="322"/>
      <c r="R14" s="322"/>
      <c r="S14" s="322"/>
      <c r="T14" s="322"/>
    </row>
    <row r="15" spans="2:20" ht="21" customHeight="1">
      <c r="B15" s="402" t="s">
        <v>3429</v>
      </c>
      <c r="C15" s="402"/>
      <c r="D15" s="402"/>
      <c r="E15" s="402"/>
      <c r="F15" s="402"/>
      <c r="G15" s="446" t="s">
        <v>3425</v>
      </c>
      <c r="H15" s="780"/>
      <c r="I15" s="780"/>
      <c r="J15" s="263">
        <f t="shared" si="0"/>
        <v>0</v>
      </c>
      <c r="N15" s="322"/>
      <c r="O15" s="322"/>
      <c r="P15" s="322"/>
      <c r="Q15" s="322"/>
      <c r="R15" s="322"/>
      <c r="S15" s="322"/>
      <c r="T15" s="322"/>
    </row>
    <row r="16" spans="2:20" ht="21" customHeight="1">
      <c r="B16" s="402" t="s">
        <v>3428</v>
      </c>
      <c r="C16" s="402"/>
      <c r="D16" s="402"/>
      <c r="E16" s="402"/>
      <c r="F16" s="402"/>
      <c r="G16" s="446"/>
      <c r="H16" s="780"/>
      <c r="I16" s="780"/>
      <c r="J16" s="263"/>
      <c r="N16" s="322"/>
      <c r="O16" s="322"/>
      <c r="P16" s="322"/>
      <c r="Q16" s="322"/>
      <c r="R16" s="322"/>
      <c r="S16" s="322"/>
      <c r="T16" s="322"/>
    </row>
    <row r="17" spans="2:20" ht="21" customHeight="1">
      <c r="B17" s="402" t="s">
        <v>422</v>
      </c>
      <c r="C17" s="402"/>
      <c r="D17" s="402"/>
      <c r="E17" s="402"/>
      <c r="F17" s="402"/>
      <c r="G17" s="446"/>
      <c r="H17" s="310" t="s">
        <v>787</v>
      </c>
      <c r="I17" s="310" t="s">
        <v>787</v>
      </c>
      <c r="J17" s="264" t="s">
        <v>787</v>
      </c>
      <c r="N17" s="322"/>
      <c r="O17" s="322"/>
      <c r="P17" s="322"/>
      <c r="Q17" s="322"/>
      <c r="R17" s="322"/>
      <c r="S17" s="322"/>
      <c r="T17" s="322"/>
    </row>
    <row r="18" spans="2:20" ht="21" customHeight="1">
      <c r="B18" s="648"/>
      <c r="C18" s="648"/>
      <c r="D18" s="648"/>
      <c r="E18" s="648"/>
      <c r="F18" s="648"/>
      <c r="G18" s="648"/>
      <c r="H18" s="601"/>
      <c r="I18" s="601"/>
      <c r="J18" s="263">
        <f t="shared" ref="J18:J19" si="1">+I18-H18</f>
        <v>0</v>
      </c>
      <c r="N18" s="322"/>
      <c r="O18" s="322"/>
      <c r="P18" s="322"/>
      <c r="Q18" s="322"/>
      <c r="R18" s="322"/>
      <c r="S18" s="322"/>
      <c r="T18" s="322"/>
    </row>
    <row r="19" spans="2:20" ht="21" customHeight="1" thickBot="1">
      <c r="B19" s="648"/>
      <c r="C19" s="648"/>
      <c r="D19" s="648"/>
      <c r="E19" s="648"/>
      <c r="F19" s="648"/>
      <c r="G19" s="648"/>
      <c r="H19" s="627"/>
      <c r="I19" s="627"/>
      <c r="J19" s="473">
        <f t="shared" si="1"/>
        <v>0</v>
      </c>
      <c r="N19" s="322"/>
      <c r="O19" s="322"/>
      <c r="P19" s="322"/>
      <c r="Q19" s="322"/>
      <c r="R19" s="322"/>
      <c r="S19" s="322"/>
      <c r="T19" s="322"/>
    </row>
    <row r="20" spans="2:20" ht="21" customHeight="1" thickTop="1">
      <c r="B20" s="402"/>
      <c r="C20" s="402"/>
      <c r="D20" s="402" t="s">
        <v>421</v>
      </c>
      <c r="E20" s="402"/>
      <c r="F20" s="402"/>
      <c r="G20" s="449"/>
      <c r="H20" s="448">
        <f>SUM(H7:H19)</f>
        <v>0</v>
      </c>
      <c r="I20" s="448">
        <f>SUM(I7:I19)</f>
        <v>0</v>
      </c>
      <c r="J20" s="251">
        <f>SUM(J7:J19)</f>
        <v>0</v>
      </c>
      <c r="N20" s="322"/>
      <c r="O20" s="322"/>
      <c r="P20" s="322"/>
      <c r="Q20" s="322"/>
      <c r="R20" s="322"/>
      <c r="S20" s="322"/>
      <c r="T20" s="322"/>
    </row>
    <row r="21" spans="2:20" ht="21" customHeight="1" thickBot="1">
      <c r="B21" s="402" t="s">
        <v>3427</v>
      </c>
      <c r="C21" s="447"/>
      <c r="D21" s="447"/>
      <c r="E21" s="402"/>
      <c r="F21" s="402"/>
      <c r="G21" s="446" t="s">
        <v>3426</v>
      </c>
      <c r="H21" s="654"/>
      <c r="I21" s="654"/>
      <c r="J21" s="262">
        <f>I21-H21</f>
        <v>0</v>
      </c>
      <c r="N21" s="322"/>
      <c r="O21" s="322"/>
      <c r="P21" s="322"/>
      <c r="Q21" s="322"/>
      <c r="R21" s="322"/>
      <c r="S21" s="322"/>
      <c r="T21" s="322"/>
    </row>
    <row r="22" spans="2:20" ht="21" customHeight="1" thickTop="1" thickBot="1">
      <c r="G22" s="445" t="s">
        <v>3425</v>
      </c>
      <c r="H22" s="444">
        <f>+H20+H21</f>
        <v>0</v>
      </c>
      <c r="I22" s="444">
        <f>+I20+I21</f>
        <v>0</v>
      </c>
      <c r="J22" s="443">
        <f>+J20+J21</f>
        <v>0</v>
      </c>
      <c r="L22" s="399" t="s">
        <v>3406</v>
      </c>
      <c r="N22" s="322"/>
      <c r="O22" s="322"/>
      <c r="P22" s="322"/>
      <c r="Q22" s="322"/>
      <c r="R22" s="322"/>
      <c r="S22" s="322"/>
      <c r="T22" s="322"/>
    </row>
    <row r="23" spans="2:20" ht="13.8" thickTop="1">
      <c r="B23" s="427" t="s">
        <v>3424</v>
      </c>
      <c r="N23" s="322"/>
      <c r="O23" s="322"/>
      <c r="P23" s="322"/>
      <c r="Q23" s="322"/>
      <c r="R23" s="322"/>
      <c r="S23" s="322"/>
      <c r="T23" s="322"/>
    </row>
    <row r="24" spans="2:20">
      <c r="B24" s="427" t="s">
        <v>3423</v>
      </c>
      <c r="N24" s="322"/>
      <c r="O24" s="322"/>
      <c r="P24" s="322"/>
      <c r="Q24" s="322"/>
      <c r="R24" s="322"/>
      <c r="S24" s="322"/>
      <c r="T24" s="322"/>
    </row>
    <row r="25" spans="2:20">
      <c r="N25" s="322"/>
      <c r="O25" s="322"/>
      <c r="P25" s="322"/>
      <c r="Q25" s="322"/>
      <c r="R25" s="322"/>
      <c r="S25" s="322"/>
      <c r="T25" s="322"/>
    </row>
    <row r="26" spans="2:20">
      <c r="N26" s="322"/>
      <c r="O26" s="322"/>
      <c r="P26" s="322"/>
      <c r="Q26" s="322"/>
      <c r="R26" s="322"/>
      <c r="S26" s="322"/>
      <c r="T26" s="322"/>
    </row>
    <row r="27" spans="2:20" ht="17.25" customHeight="1" thickBot="1">
      <c r="B27" s="1797" t="s">
        <v>426</v>
      </c>
      <c r="C27" s="1797"/>
      <c r="D27" s="1797"/>
      <c r="E27" s="1797"/>
      <c r="F27" s="1797"/>
      <c r="G27" s="1797"/>
      <c r="H27" s="1797"/>
      <c r="I27" s="1797"/>
      <c r="J27" s="1797"/>
    </row>
    <row r="28" spans="2:20" ht="21" customHeight="1" thickTop="1">
      <c r="B28" s="442" t="s">
        <v>427</v>
      </c>
      <c r="C28" s="441"/>
      <c r="D28" s="441"/>
      <c r="E28" s="441"/>
      <c r="F28" s="441"/>
      <c r="G28" s="441"/>
      <c r="H28" s="441"/>
      <c r="I28" s="440"/>
      <c r="J28" s="341" t="s">
        <v>787</v>
      </c>
    </row>
    <row r="29" spans="2:20" ht="21" customHeight="1">
      <c r="B29" s="438"/>
      <c r="C29" s="437" t="s">
        <v>222</v>
      </c>
      <c r="D29" s="437"/>
      <c r="E29" s="437"/>
      <c r="F29" s="437"/>
      <c r="G29" s="437"/>
      <c r="H29" s="437"/>
      <c r="I29" s="439"/>
      <c r="J29" s="655"/>
    </row>
    <row r="30" spans="2:20" ht="21" customHeight="1">
      <c r="B30" s="438"/>
      <c r="C30" s="437" t="s">
        <v>428</v>
      </c>
      <c r="D30" s="437"/>
      <c r="E30" s="437"/>
      <c r="F30" s="437"/>
      <c r="G30" s="437"/>
      <c r="H30" s="437"/>
      <c r="I30" s="439"/>
      <c r="J30" s="655"/>
    </row>
    <row r="31" spans="2:20" ht="21" customHeight="1" thickBot="1">
      <c r="B31" s="438"/>
      <c r="C31" s="437" t="s">
        <v>429</v>
      </c>
      <c r="D31" s="437"/>
      <c r="E31" s="437"/>
      <c r="F31" s="437"/>
      <c r="G31" s="437"/>
      <c r="H31" s="437"/>
      <c r="I31" s="439"/>
      <c r="J31" s="657"/>
    </row>
    <row r="32" spans="2:20" ht="21" customHeight="1" thickTop="1">
      <c r="B32" s="438" t="s">
        <v>430</v>
      </c>
      <c r="C32" s="437"/>
      <c r="D32" s="437"/>
      <c r="E32" s="437"/>
      <c r="F32" s="437"/>
      <c r="G32" s="437"/>
      <c r="H32" s="437"/>
      <c r="I32" s="436"/>
      <c r="J32" s="433">
        <f>SUM(J29:J31)</f>
        <v>0</v>
      </c>
    </row>
    <row r="33" spans="2:13" ht="21" customHeight="1" thickBot="1">
      <c r="B33" s="438" t="s">
        <v>431</v>
      </c>
      <c r="C33" s="437"/>
      <c r="D33" s="437"/>
      <c r="E33" s="437"/>
      <c r="F33" s="437"/>
      <c r="G33" s="437"/>
      <c r="H33" s="437"/>
      <c r="I33" s="436"/>
      <c r="J33" s="657"/>
    </row>
    <row r="34" spans="2:13" ht="21" customHeight="1" thickTop="1">
      <c r="B34" s="438" t="s">
        <v>916</v>
      </c>
      <c r="C34" s="437"/>
      <c r="D34" s="437"/>
      <c r="E34" s="437"/>
      <c r="F34" s="437"/>
      <c r="G34" s="437"/>
      <c r="H34" s="437"/>
      <c r="I34" s="436"/>
      <c r="J34" s="433">
        <f>+J32+J33</f>
        <v>0</v>
      </c>
    </row>
    <row r="35" spans="2:13" ht="21" customHeight="1">
      <c r="B35" s="438" t="s">
        <v>432</v>
      </c>
      <c r="C35" s="437"/>
      <c r="D35" s="437"/>
      <c r="E35" s="437"/>
      <c r="F35" s="437"/>
      <c r="G35" s="437"/>
      <c r="H35" s="437"/>
      <c r="I35" s="436"/>
      <c r="J35" s="435"/>
    </row>
    <row r="36" spans="2:13" ht="21" customHeight="1">
      <c r="B36" s="430"/>
      <c r="C36" s="430" t="s">
        <v>753</v>
      </c>
      <c r="D36" s="430"/>
      <c r="E36" s="430"/>
      <c r="F36" s="430"/>
      <c r="G36" s="430"/>
      <c r="H36" s="430"/>
      <c r="I36" s="658"/>
      <c r="J36" s="434"/>
    </row>
    <row r="37" spans="2:13" ht="21" customHeight="1">
      <c r="B37" s="430"/>
      <c r="C37" s="430" t="s">
        <v>920</v>
      </c>
      <c r="D37" s="430"/>
      <c r="E37" s="430"/>
      <c r="F37" s="430"/>
      <c r="G37" s="430"/>
      <c r="H37" s="430"/>
      <c r="I37" s="658"/>
      <c r="J37" s="434"/>
    </row>
    <row r="38" spans="2:13" ht="21" customHeight="1" thickBot="1">
      <c r="B38" s="430" t="s">
        <v>433</v>
      </c>
      <c r="C38" s="430"/>
      <c r="D38" s="430"/>
      <c r="E38" s="430"/>
      <c r="F38" s="430"/>
      <c r="G38" s="430"/>
      <c r="H38" s="430"/>
      <c r="I38" s="659"/>
      <c r="J38" s="655"/>
      <c r="M38" s="399"/>
    </row>
    <row r="39" spans="2:13" ht="21" customHeight="1" thickTop="1" thickBot="1">
      <c r="B39" s="430" t="s">
        <v>921</v>
      </c>
      <c r="C39" s="430"/>
      <c r="D39" s="430"/>
      <c r="E39" s="430"/>
      <c r="F39" s="430"/>
      <c r="G39" s="430"/>
      <c r="H39" s="430"/>
      <c r="I39" s="432"/>
      <c r="J39" s="431">
        <f>SUM(I36:I38)</f>
        <v>0</v>
      </c>
    </row>
    <row r="40" spans="2:13" ht="21" customHeight="1" thickTop="1" thickBot="1">
      <c r="B40" s="430" t="s">
        <v>434</v>
      </c>
      <c r="C40" s="430"/>
      <c r="D40" s="430"/>
      <c r="E40" s="430"/>
      <c r="F40" s="430"/>
      <c r="G40" s="430"/>
      <c r="H40" s="430"/>
      <c r="I40" s="429"/>
      <c r="J40" s="428">
        <f>+J34-J39</f>
        <v>0</v>
      </c>
      <c r="K40" s="399"/>
    </row>
    <row r="41" spans="2:13" ht="13.8" thickTop="1"/>
    <row r="42" spans="2:13">
      <c r="B42" s="427" t="s">
        <v>3422</v>
      </c>
      <c r="C42" s="427"/>
      <c r="D42" s="427"/>
      <c r="E42" s="427"/>
      <c r="F42" s="427"/>
    </row>
    <row r="43" spans="2:13">
      <c r="B43" s="427"/>
      <c r="C43" s="427" t="s">
        <v>3421</v>
      </c>
      <c r="D43" s="427"/>
      <c r="E43" s="427"/>
      <c r="F43" s="427"/>
    </row>
    <row r="44" spans="2:13">
      <c r="B44" s="427"/>
      <c r="C44" s="427"/>
      <c r="D44" s="427" t="s">
        <v>3420</v>
      </c>
      <c r="E44" s="427"/>
      <c r="F44" s="427"/>
      <c r="M44" s="399"/>
    </row>
    <row r="45" spans="2:13">
      <c r="B45" s="427"/>
      <c r="C45" s="427" t="s">
        <v>43</v>
      </c>
      <c r="D45" s="427"/>
      <c r="E45" s="427"/>
      <c r="F45" s="427"/>
    </row>
    <row r="46" spans="2:13">
      <c r="B46" s="427"/>
      <c r="C46" s="427" t="s">
        <v>3419</v>
      </c>
      <c r="D46" s="427"/>
      <c r="E46" s="427"/>
      <c r="F46" s="427"/>
    </row>
    <row r="47" spans="2:13">
      <c r="B47" s="427"/>
      <c r="C47" s="427"/>
      <c r="D47" s="427" t="s">
        <v>3418</v>
      </c>
      <c r="E47" s="427"/>
      <c r="F47" s="427"/>
    </row>
    <row r="48" spans="2:13">
      <c r="B48" s="427"/>
      <c r="C48" s="427"/>
      <c r="D48" s="427"/>
      <c r="E48" s="427"/>
      <c r="F48" s="427"/>
    </row>
    <row r="55" spans="2:10" ht="13.8">
      <c r="B55" s="1765" t="s">
        <v>3417</v>
      </c>
      <c r="C55" s="1765"/>
      <c r="D55" s="1765"/>
      <c r="E55" s="1765"/>
      <c r="F55" s="1765"/>
      <c r="G55" s="1765"/>
      <c r="H55" s="1765"/>
      <c r="I55" s="1765"/>
      <c r="J55" s="1765"/>
    </row>
  </sheetData>
  <sheetProtection algorithmName="SHA-512" hashValue="MSEVyGT9tzhloolRjULOwtXCRhxEj+NPRISddzpOefT8BSFKi5jZhmizIGQI6dMy/PCnyAyELX1ubUzwsP/lRw==" saltValue="QDveTsEymud/EjjqLGo2Rw==" spinCount="100000" sheet="1" objects="1" scenarios="1"/>
  <customSheetViews>
    <customSheetView guid="{AC653BD0-46E3-42CB-9C76-32121A57B65A}">
      <selection activeCell="B14" sqref="B14"/>
      <pageMargins left="0.25" right="0.25" top="0.5" bottom="0.5" header="0.25" footer="0.25"/>
      <pageSetup paperSize="5" orientation="portrait" r:id="rId1"/>
      <headerFooter alignWithMargins="0"/>
    </customSheetView>
    <customSheetView guid="{B165479B-DC25-403C-9595-F1A88A4AA9A2}">
      <selection activeCell="B14" sqref="B14"/>
      <pageMargins left="0.25" right="0.25" top="0.5" bottom="0.5" header="0.25" footer="0.25"/>
      <pageSetup paperSize="5" orientation="portrait" r:id="rId2"/>
      <headerFooter alignWithMargins="0"/>
    </customSheetView>
    <customSheetView guid="{A64E4C9E-A3DA-4AAA-8607-F524450B9436}">
      <selection activeCell="B14" sqref="B14"/>
      <pageMargins left="0.25" right="0.25" top="0.5" bottom="0.5" header="0.25" footer="0.25"/>
      <pageSetup paperSize="5" orientation="portrait" r:id="rId3"/>
      <headerFooter alignWithMargins="0"/>
    </customSheetView>
    <customSheetView guid="{AB4FBD91-4533-473A-9702-569FF6402073}">
      <selection activeCell="B14" sqref="B14"/>
      <pageMargins left="0.25" right="0.25" top="0.5" bottom="0.5" header="0.25" footer="0.25"/>
      <pageSetup paperSize="5" orientation="portrait" r:id="rId4"/>
      <headerFooter alignWithMargins="0"/>
    </customSheetView>
  </customSheetViews>
  <mergeCells count="5">
    <mergeCell ref="B5:G6"/>
    <mergeCell ref="B2:J2"/>
    <mergeCell ref="B55:J55"/>
    <mergeCell ref="B4:J4"/>
    <mergeCell ref="B27:J27"/>
  </mergeCells>
  <pageMargins left="0.25" right="0.25" top="0.5" bottom="0.5" header="0.25" footer="0.25"/>
  <pageSetup paperSize="5" orientation="portrait" r:id="rId5"/>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1">
    <tabColor theme="6" tint="0.39997558519241921"/>
  </sheetPr>
  <dimension ref="B3:T57"/>
  <sheetViews>
    <sheetView zoomScaleNormal="100" zoomScaleSheetLayoutView="80" workbookViewId="0">
      <selection activeCell="J31" sqref="J31"/>
    </sheetView>
  </sheetViews>
  <sheetFormatPr defaultColWidth="8.88671875" defaultRowHeight="13.2"/>
  <cols>
    <col min="1" max="1" width="4.6640625" style="398" customWidth="1"/>
    <col min="2" max="2" width="6.109375" style="398" customWidth="1"/>
    <col min="3" max="3" width="3.33203125" style="398" customWidth="1"/>
    <col min="4" max="4" width="2.6640625" style="398" customWidth="1"/>
    <col min="5" max="5" width="8.88671875" style="398"/>
    <col min="6" max="6" width="5.88671875" style="398" customWidth="1"/>
    <col min="7" max="7" width="8.88671875" style="398"/>
    <col min="8" max="8" width="16" style="398" customWidth="1"/>
    <col min="9" max="9" width="8.88671875" style="398"/>
    <col min="10" max="11" width="16.6640625" style="398" customWidth="1"/>
    <col min="12" max="12" width="8.88671875" style="398"/>
    <col min="13" max="13" width="11.33203125" style="398" customWidth="1"/>
    <col min="14" max="16384" width="8.88671875" style="398"/>
  </cols>
  <sheetData>
    <row r="3" spans="2:20" ht="22.8">
      <c r="B3" s="1770" t="str">
        <f>"STATEMENT  OF  "&amp;TEXT('KEY INPUTS'!D34,"0")&amp;"  OPERATION"</f>
        <v>STATEMENT  OF  2019  OPERATION</v>
      </c>
      <c r="C3" s="1770"/>
      <c r="D3" s="1770"/>
      <c r="E3" s="1770"/>
      <c r="F3" s="1770"/>
      <c r="G3" s="1770"/>
      <c r="H3" s="1770"/>
      <c r="I3" s="1770"/>
      <c r="J3" s="1770"/>
      <c r="K3" s="1770"/>
    </row>
    <row r="5" spans="2:20" ht="20.399999999999999">
      <c r="B5" s="1788" t="str">
        <f>UPPER('KEY INPUTS'!D52)&amp;" UTILITY"</f>
        <v xml:space="preserve"> UTILITY</v>
      </c>
      <c r="C5" s="1788"/>
      <c r="D5" s="1788"/>
      <c r="E5" s="1788"/>
      <c r="F5" s="1788"/>
      <c r="G5" s="1788"/>
      <c r="H5" s="1788"/>
      <c r="I5" s="1788"/>
      <c r="J5" s="1788"/>
      <c r="K5" s="1788"/>
    </row>
    <row r="8" spans="2:20">
      <c r="B8" s="1114" t="s">
        <v>408</v>
      </c>
      <c r="C8" s="1189" t="str">
        <f>"Section 1 of this sheet is required to be filled out ONLY IF the "&amp;TEXT('KEY INPUTS'!D34,"0")&amp;" "&amp;PROPER('KEY INPUTS'!D52)&amp;" Utility Budget contained"</f>
        <v>Section 1 of this sheet is required to be filled out ONLY IF the 2019  Utility Budget contained</v>
      </c>
      <c r="D8" s="1114"/>
      <c r="E8" s="1114"/>
      <c r="F8" s="1114"/>
      <c r="G8" s="1114"/>
      <c r="H8" s="1114"/>
      <c r="I8" s="1114"/>
      <c r="J8" s="1114"/>
      <c r="K8" s="1114"/>
    </row>
    <row r="9" spans="2:20">
      <c r="B9" s="1114"/>
      <c r="C9" s="1114" t="s">
        <v>435</v>
      </c>
      <c r="D9" s="1114"/>
      <c r="E9" s="1114"/>
      <c r="F9" s="1114"/>
      <c r="G9" s="1114"/>
      <c r="H9" s="1114"/>
      <c r="I9" s="1114"/>
      <c r="J9" s="1114"/>
      <c r="K9" s="1114"/>
    </row>
    <row r="10" spans="2:20">
      <c r="B10" s="1114"/>
      <c r="C10" s="1114" t="s">
        <v>436</v>
      </c>
      <c r="D10" s="1114"/>
      <c r="E10" s="1114"/>
      <c r="F10" s="1114"/>
      <c r="G10" s="1114"/>
      <c r="H10" s="1114"/>
      <c r="I10" s="1114"/>
      <c r="J10" s="1114"/>
      <c r="K10" s="1114"/>
    </row>
    <row r="11" spans="2:20">
      <c r="B11" s="1114"/>
      <c r="C11" s="1167" t="s">
        <v>3437</v>
      </c>
      <c r="D11" s="1114"/>
      <c r="E11" s="1114"/>
      <c r="F11" s="1114"/>
      <c r="G11" s="1114"/>
      <c r="H11" s="1114"/>
      <c r="I11" s="1114"/>
      <c r="J11" s="1114"/>
      <c r="K11" s="1114"/>
    </row>
    <row r="12" spans="2:20">
      <c r="B12" s="1114"/>
      <c r="C12" s="1114"/>
      <c r="D12" s="1114"/>
      <c r="E12" s="1114"/>
      <c r="F12" s="1114"/>
      <c r="G12" s="1114"/>
      <c r="H12" s="1114"/>
      <c r="I12" s="1114"/>
      <c r="J12" s="1114"/>
      <c r="K12" s="1114"/>
    </row>
    <row r="13" spans="2:20" ht="17.399999999999999">
      <c r="B13" s="1168" t="s">
        <v>437</v>
      </c>
      <c r="C13" s="1114"/>
      <c r="D13" s="1114"/>
      <c r="E13" s="1114"/>
      <c r="F13" s="1114"/>
      <c r="G13" s="1114"/>
      <c r="H13" s="1114"/>
      <c r="I13" s="1114"/>
      <c r="J13" s="1114"/>
      <c r="K13" s="1114"/>
    </row>
    <row r="14" spans="2:20" ht="13.8" thickBot="1">
      <c r="B14" s="1169"/>
      <c r="C14" s="1169"/>
      <c r="D14" s="1169"/>
      <c r="E14" s="1169"/>
      <c r="F14" s="1169"/>
      <c r="G14" s="1169"/>
      <c r="H14" s="1169"/>
      <c r="I14" s="1169"/>
      <c r="J14" s="1169"/>
      <c r="K14" s="1169"/>
    </row>
    <row r="15" spans="2:20" ht="21" customHeight="1" thickTop="1">
      <c r="B15" s="1170" t="s">
        <v>438</v>
      </c>
      <c r="C15" s="1170"/>
      <c r="D15" s="1170"/>
      <c r="E15" s="1170"/>
      <c r="F15" s="1170"/>
      <c r="G15" s="1170"/>
      <c r="H15" s="1170"/>
      <c r="I15" s="1170"/>
      <c r="J15" s="1171" t="s">
        <v>787</v>
      </c>
      <c r="K15" s="464"/>
      <c r="N15" s="322"/>
      <c r="O15" s="322"/>
      <c r="P15" s="322"/>
      <c r="Q15" s="322"/>
      <c r="R15" s="322"/>
      <c r="S15" s="322"/>
      <c r="T15" s="322"/>
    </row>
    <row r="16" spans="2:20" ht="21" customHeight="1">
      <c r="B16" s="690"/>
      <c r="C16" s="690" t="s">
        <v>439</v>
      </c>
      <c r="D16" s="690"/>
      <c r="E16" s="690"/>
      <c r="F16" s="690"/>
      <c r="G16" s="690"/>
      <c r="H16" s="690"/>
      <c r="I16" s="690"/>
      <c r="J16" s="842">
        <f>+'44-Utility1'!I20</f>
        <v>0</v>
      </c>
      <c r="K16" s="464"/>
      <c r="N16" s="322"/>
      <c r="O16" s="322"/>
      <c r="P16" s="322"/>
      <c r="Q16" s="322"/>
      <c r="R16" s="322"/>
      <c r="S16" s="322"/>
      <c r="T16" s="322"/>
    </row>
    <row r="17" spans="2:20" ht="21" customHeight="1">
      <c r="B17" s="690"/>
      <c r="C17" s="690" t="s">
        <v>440</v>
      </c>
      <c r="D17" s="690"/>
      <c r="E17" s="690"/>
      <c r="F17" s="690"/>
      <c r="G17" s="690"/>
      <c r="H17" s="690"/>
      <c r="I17" s="690"/>
      <c r="J17" s="575"/>
      <c r="K17" s="464"/>
      <c r="N17" s="377"/>
      <c r="O17" s="322"/>
      <c r="P17" s="322"/>
      <c r="Q17" s="322"/>
      <c r="R17" s="322"/>
      <c r="S17" s="322"/>
      <c r="T17" s="322"/>
    </row>
    <row r="18" spans="2:20" ht="21" customHeight="1">
      <c r="B18" s="690"/>
      <c r="C18" s="914" t="str">
        <f>TEXT('KEY INPUTS'!D35,"0")&amp;" Appropriation Reserves Canceled in "&amp;TEXT('KEY INPUTS'!D34,0)</f>
        <v>2018 Appropriation Reserves Canceled in 2019</v>
      </c>
      <c r="D18" s="1172"/>
      <c r="E18" s="1172"/>
      <c r="F18" s="1172"/>
      <c r="G18" s="1172"/>
      <c r="H18" s="690"/>
      <c r="I18" s="690"/>
      <c r="J18" s="1029">
        <f>J48</f>
        <v>0</v>
      </c>
      <c r="K18" s="464"/>
      <c r="N18" s="322"/>
      <c r="O18" s="322"/>
      <c r="P18" s="322"/>
      <c r="Q18" s="322"/>
      <c r="R18" s="322"/>
      <c r="S18" s="322"/>
      <c r="T18" s="322"/>
    </row>
    <row r="19" spans="2:20" ht="21" customHeight="1">
      <c r="B19" s="402"/>
      <c r="C19" s="648"/>
      <c r="D19" s="648"/>
      <c r="E19" s="648"/>
      <c r="F19" s="648"/>
      <c r="G19" s="648"/>
      <c r="H19" s="648"/>
      <c r="I19" s="648"/>
      <c r="J19" s="374"/>
      <c r="K19" s="464"/>
      <c r="N19" s="322"/>
      <c r="O19" s="322"/>
      <c r="P19" s="322"/>
      <c r="Q19" s="322"/>
      <c r="R19" s="322"/>
      <c r="S19" s="322"/>
      <c r="T19" s="322"/>
    </row>
    <row r="20" spans="2:20" ht="21" customHeight="1">
      <c r="B20" s="402"/>
      <c r="C20" s="648"/>
      <c r="D20" s="648"/>
      <c r="E20" s="648"/>
      <c r="F20" s="648"/>
      <c r="G20" s="648"/>
      <c r="H20" s="648"/>
      <c r="I20" s="648"/>
      <c r="J20" s="374"/>
      <c r="K20" s="464"/>
      <c r="N20" s="322"/>
      <c r="O20" s="322"/>
      <c r="P20" s="322"/>
      <c r="Q20" s="322"/>
      <c r="R20" s="322"/>
      <c r="S20" s="322"/>
      <c r="T20" s="322"/>
    </row>
    <row r="21" spans="2:20" ht="21" customHeight="1">
      <c r="B21" s="690"/>
      <c r="C21" s="690" t="s">
        <v>441</v>
      </c>
      <c r="D21" s="690"/>
      <c r="E21" s="690"/>
      <c r="F21" s="690"/>
      <c r="G21" s="690"/>
      <c r="H21" s="690"/>
      <c r="I21" s="690"/>
      <c r="J21" s="1173"/>
      <c r="K21" s="851">
        <f>SUM(J16:J20)</f>
        <v>0</v>
      </c>
      <c r="N21" s="322"/>
      <c r="O21" s="322"/>
      <c r="P21" s="322"/>
      <c r="Q21" s="322"/>
      <c r="R21" s="322"/>
      <c r="S21" s="322"/>
      <c r="T21" s="322"/>
    </row>
    <row r="22" spans="2:20" ht="21" customHeight="1">
      <c r="B22" s="690" t="s">
        <v>442</v>
      </c>
      <c r="C22" s="690"/>
      <c r="D22" s="690"/>
      <c r="E22" s="690"/>
      <c r="F22" s="690"/>
      <c r="G22" s="690"/>
      <c r="H22" s="690"/>
      <c r="I22" s="690"/>
      <c r="J22" s="1174" t="s">
        <v>787</v>
      </c>
      <c r="K22" s="841"/>
      <c r="N22" s="322"/>
      <c r="O22" s="322"/>
      <c r="P22" s="322"/>
      <c r="Q22" s="322"/>
      <c r="R22" s="322"/>
      <c r="S22" s="322"/>
      <c r="T22" s="322"/>
    </row>
    <row r="23" spans="2:20" ht="21" customHeight="1">
      <c r="B23" s="690"/>
      <c r="C23" s="690" t="s">
        <v>443</v>
      </c>
      <c r="D23" s="690"/>
      <c r="E23" s="690"/>
      <c r="F23" s="690"/>
      <c r="G23" s="690"/>
      <c r="H23" s="690"/>
      <c r="I23" s="690"/>
      <c r="J23" s="1174" t="s">
        <v>787</v>
      </c>
      <c r="K23" s="841"/>
      <c r="N23" s="322"/>
      <c r="O23" s="322"/>
      <c r="P23" s="322"/>
      <c r="Q23" s="322"/>
      <c r="R23" s="322"/>
      <c r="S23" s="322"/>
      <c r="T23" s="322"/>
    </row>
    <row r="24" spans="2:20" ht="21" customHeight="1">
      <c r="B24" s="690"/>
      <c r="C24" s="690"/>
      <c r="D24" s="690" t="s">
        <v>753</v>
      </c>
      <c r="E24" s="690"/>
      <c r="F24" s="690"/>
      <c r="G24" s="690"/>
      <c r="H24" s="690"/>
      <c r="I24" s="690"/>
      <c r="J24" s="842">
        <f>+'44-Utility1'!I36</f>
        <v>0</v>
      </c>
      <c r="K24" s="841"/>
      <c r="N24" s="322"/>
      <c r="O24" s="322"/>
      <c r="P24" s="322"/>
      <c r="Q24" s="322"/>
      <c r="R24" s="322"/>
      <c r="S24" s="322"/>
      <c r="T24" s="322"/>
    </row>
    <row r="25" spans="2:20" ht="21" customHeight="1">
      <c r="B25" s="690"/>
      <c r="C25" s="690"/>
      <c r="D25" s="690" t="s">
        <v>920</v>
      </c>
      <c r="E25" s="690"/>
      <c r="F25" s="690"/>
      <c r="G25" s="690"/>
      <c r="H25" s="690"/>
      <c r="I25" s="690"/>
      <c r="J25" s="842">
        <f>+'44-Utility1'!I37</f>
        <v>0</v>
      </c>
      <c r="K25" s="841"/>
      <c r="N25" s="322"/>
      <c r="O25" s="322"/>
      <c r="P25" s="322"/>
      <c r="Q25" s="322"/>
      <c r="R25" s="322"/>
      <c r="S25" s="322"/>
      <c r="T25" s="322"/>
    </row>
    <row r="26" spans="2:20" ht="21" customHeight="1">
      <c r="B26" s="690"/>
      <c r="C26" s="690" t="s">
        <v>444</v>
      </c>
      <c r="D26" s="690"/>
      <c r="E26" s="690"/>
      <c r="F26" s="690"/>
      <c r="G26" s="690"/>
      <c r="H26" s="690"/>
      <c r="I26" s="690"/>
      <c r="J26" s="575"/>
      <c r="K26" s="841"/>
      <c r="N26" s="322"/>
      <c r="O26" s="322"/>
      <c r="P26" s="322"/>
      <c r="Q26" s="322"/>
      <c r="R26" s="322"/>
      <c r="S26" s="322"/>
      <c r="T26" s="322"/>
    </row>
    <row r="27" spans="2:20" ht="21" customHeight="1">
      <c r="B27" s="690"/>
      <c r="C27" s="690" t="s">
        <v>445</v>
      </c>
      <c r="D27" s="690"/>
      <c r="E27" s="690"/>
      <c r="F27" s="690"/>
      <c r="G27" s="690"/>
      <c r="H27" s="690"/>
      <c r="I27" s="690"/>
      <c r="J27" s="575"/>
      <c r="K27" s="841"/>
      <c r="N27" s="322"/>
      <c r="O27" s="322"/>
      <c r="P27" s="322"/>
      <c r="Q27" s="322"/>
      <c r="R27" s="322"/>
      <c r="S27" s="322"/>
      <c r="T27" s="322"/>
    </row>
    <row r="28" spans="2:20" ht="21" customHeight="1" thickBot="1">
      <c r="B28" s="690"/>
      <c r="C28" s="648"/>
      <c r="D28" s="647"/>
      <c r="E28" s="648"/>
      <c r="F28" s="648"/>
      <c r="G28" s="648"/>
      <c r="H28" s="648"/>
      <c r="I28" s="648"/>
      <c r="J28" s="1022"/>
      <c r="K28" s="841"/>
      <c r="N28" s="322"/>
      <c r="O28" s="322"/>
      <c r="P28" s="322"/>
      <c r="Q28" s="322"/>
      <c r="R28" s="322"/>
      <c r="S28" s="322"/>
      <c r="T28" s="322"/>
    </row>
    <row r="29" spans="2:20" ht="21" customHeight="1">
      <c r="B29" s="690"/>
      <c r="C29" s="690"/>
      <c r="D29" s="690"/>
      <c r="E29" s="690"/>
      <c r="F29" s="690" t="s">
        <v>921</v>
      </c>
      <c r="G29" s="690"/>
      <c r="H29" s="690"/>
      <c r="I29" s="690"/>
      <c r="J29" s="848">
        <f>SUM(J24:J28)</f>
        <v>0</v>
      </c>
      <c r="K29" s="841"/>
      <c r="N29" s="322"/>
      <c r="O29" s="322"/>
      <c r="P29" s="322"/>
      <c r="Q29" s="322"/>
      <c r="R29" s="322"/>
      <c r="S29" s="322"/>
      <c r="T29" s="322"/>
    </row>
    <row r="30" spans="2:20" ht="11.25" customHeight="1">
      <c r="B30" s="1114"/>
      <c r="C30" s="1114"/>
      <c r="D30" s="1114"/>
      <c r="E30" s="1114"/>
      <c r="F30" s="1114" t="s">
        <v>949</v>
      </c>
      <c r="G30" s="1114" t="s">
        <v>950</v>
      </c>
      <c r="H30" s="1114"/>
      <c r="I30" s="1114"/>
      <c r="J30" s="1177"/>
      <c r="K30" s="841"/>
      <c r="N30" s="322"/>
      <c r="O30" s="322"/>
      <c r="P30" s="322"/>
      <c r="Q30" s="322"/>
      <c r="R30" s="322"/>
      <c r="S30" s="322"/>
      <c r="T30" s="322"/>
    </row>
    <row r="31" spans="2:20" ht="13.5" customHeight="1">
      <c r="B31" s="1128"/>
      <c r="C31" s="1128"/>
      <c r="D31" s="1128"/>
      <c r="E31" s="1128"/>
      <c r="F31" s="1128"/>
      <c r="G31" s="1128" t="s">
        <v>951</v>
      </c>
      <c r="H31" s="1128"/>
      <c r="I31" s="1178"/>
      <c r="J31" s="1489"/>
      <c r="K31" s="1175"/>
      <c r="N31" s="322"/>
      <c r="O31" s="322"/>
      <c r="P31" s="322"/>
      <c r="Q31" s="322"/>
      <c r="R31" s="322"/>
      <c r="S31" s="322"/>
      <c r="T31" s="322"/>
    </row>
    <row r="32" spans="2:20" ht="21" customHeight="1" thickBot="1">
      <c r="B32" s="1180"/>
      <c r="C32" s="1180"/>
      <c r="D32" s="1180" t="s">
        <v>952</v>
      </c>
      <c r="E32" s="1180"/>
      <c r="F32" s="1180"/>
      <c r="G32" s="1180"/>
      <c r="H32" s="1180"/>
      <c r="I32" s="1180"/>
      <c r="J32" s="1181"/>
      <c r="K32" s="1176">
        <f>+J29-J31</f>
        <v>0</v>
      </c>
    </row>
    <row r="33" spans="2:15" ht="21" customHeight="1" thickTop="1" thickBot="1">
      <c r="B33" s="1182" t="s">
        <v>953</v>
      </c>
      <c r="C33" s="1182"/>
      <c r="D33" s="1182"/>
      <c r="E33" s="1182"/>
      <c r="F33" s="1182"/>
      <c r="G33" s="1182"/>
      <c r="H33" s="1182"/>
      <c r="I33" s="1182"/>
      <c r="J33" s="1183"/>
      <c r="K33" s="1184">
        <f>IF(M33&gt;0,M33,0)</f>
        <v>0</v>
      </c>
      <c r="M33" s="399">
        <f>+K21-K32</f>
        <v>0</v>
      </c>
      <c r="N33" s="710" t="s">
        <v>3664</v>
      </c>
    </row>
    <row r="34" spans="2:15" ht="21" customHeight="1">
      <c r="B34" s="690" t="s">
        <v>954</v>
      </c>
      <c r="C34" s="690"/>
      <c r="D34" s="690"/>
      <c r="E34" s="690"/>
      <c r="F34" s="690"/>
      <c r="G34" s="690"/>
      <c r="H34" s="690"/>
      <c r="I34" s="690"/>
      <c r="J34" s="575"/>
      <c r="K34" s="841"/>
    </row>
    <row r="35" spans="2:15" ht="11.25" customHeight="1">
      <c r="B35" s="1800" t="s">
        <v>955</v>
      </c>
      <c r="C35" s="1800"/>
      <c r="D35" s="1800"/>
      <c r="E35" s="1189" t="str">
        <f>"Balance of Results of "&amp;TEXT('KEY INPUTS'!D34,"0")&amp;" Operation"</f>
        <v>Balance of Results of 2019 Operation</v>
      </c>
      <c r="F35" s="1114"/>
      <c r="G35" s="1114"/>
      <c r="H35" s="1114"/>
      <c r="I35" s="1114"/>
      <c r="J35" s="1177"/>
      <c r="K35" s="841"/>
    </row>
    <row r="36" spans="2:15" ht="12.75" customHeight="1" thickBot="1">
      <c r="B36" s="1801"/>
      <c r="C36" s="1801"/>
      <c r="D36" s="1801"/>
      <c r="E36" s="1128" t="s">
        <v>3782</v>
      </c>
      <c r="F36" s="1128"/>
      <c r="G36" s="1128"/>
      <c r="H36" s="1128"/>
      <c r="I36" s="1128"/>
      <c r="J36" s="1179">
        <f>+K33-J34</f>
        <v>0</v>
      </c>
      <c r="K36" s="841"/>
    </row>
    <row r="37" spans="2:15" ht="21" customHeight="1" thickBot="1">
      <c r="B37" s="1190"/>
      <c r="C37" s="1190"/>
      <c r="D37" s="1190"/>
      <c r="E37" s="1190"/>
      <c r="F37" s="1190"/>
      <c r="G37" s="1190"/>
      <c r="H37" s="1190"/>
      <c r="I37" s="1190"/>
      <c r="J37" s="1193"/>
      <c r="K37" s="1185"/>
    </row>
    <row r="38" spans="2:15" ht="21" customHeight="1" thickBot="1">
      <c r="B38" s="1191" t="s">
        <v>956</v>
      </c>
      <c r="C38" s="1191"/>
      <c r="D38" s="1191"/>
      <c r="E38" s="1191"/>
      <c r="F38" s="1191"/>
      <c r="G38" s="1191"/>
      <c r="H38" s="1191"/>
      <c r="I38" s="1191"/>
      <c r="J38" s="1194"/>
      <c r="K38" s="1186">
        <f>IF(+M33&gt;0,0,+M33*-1)</f>
        <v>0</v>
      </c>
    </row>
    <row r="39" spans="2:15" ht="21" customHeight="1">
      <c r="B39" s="690" t="s">
        <v>957</v>
      </c>
      <c r="C39" s="690"/>
      <c r="D39" s="690"/>
      <c r="E39" s="690"/>
      <c r="F39" s="690"/>
      <c r="G39" s="690"/>
      <c r="H39" s="690"/>
      <c r="I39" s="690"/>
      <c r="J39" s="1194">
        <f>+'44-Utility1'!I21</f>
        <v>0</v>
      </c>
      <c r="K39" s="841"/>
    </row>
    <row r="40" spans="2:15">
      <c r="B40" s="1802" t="s">
        <v>955</v>
      </c>
      <c r="C40" s="1802"/>
      <c r="D40" s="1802"/>
      <c r="E40" s="1189" t="str">
        <f>"Balance of Results of "&amp;TEXT('KEY INPUTS'!D34,"0")&amp;" Operation"</f>
        <v>Balance of Results of 2019 Operation</v>
      </c>
      <c r="F40" s="1192"/>
      <c r="G40" s="1192"/>
      <c r="H40" s="1192"/>
      <c r="I40" s="1192"/>
      <c r="J40" s="1177"/>
      <c r="K40" s="1187"/>
    </row>
    <row r="41" spans="2:15" ht="13.8" thickBot="1">
      <c r="B41" s="1803"/>
      <c r="C41" s="1803"/>
      <c r="D41" s="1803"/>
      <c r="E41" s="1169" t="s">
        <v>3436</v>
      </c>
      <c r="F41" s="1169"/>
      <c r="G41" s="1169"/>
      <c r="H41" s="1169"/>
      <c r="I41" s="1169"/>
      <c r="J41" s="1195">
        <f>+K38-J39</f>
        <v>0</v>
      </c>
      <c r="K41" s="1188"/>
      <c r="L41" s="739"/>
      <c r="O41" s="399"/>
    </row>
    <row r="42" spans="2:15" ht="13.8" thickTop="1">
      <c r="J42" s="464"/>
      <c r="K42" s="464"/>
    </row>
    <row r="43" spans="2:15" ht="17.399999999999999">
      <c r="B43" s="1168" t="s">
        <v>958</v>
      </c>
      <c r="C43" s="1114"/>
      <c r="D43" s="1114"/>
      <c r="E43" s="1114"/>
      <c r="J43" s="464"/>
      <c r="K43" s="464"/>
    </row>
    <row r="44" spans="2:15">
      <c r="B44" s="1189" t="str">
        <f>"The following Item of '"&amp;TEXT('KEY INPUTS'!D35,"0")&amp;" Appropriation Reserves Canceled in "&amp;TEXT('KEY INPUTS'!D34,"0")&amp;"' ""is Due to the Current Fund TO THE"</f>
        <v>The following Item of '2018 Appropriation Reserves Canceled in 2019' "is Due to the Current Fund TO THE</v>
      </c>
      <c r="C44" s="1114"/>
      <c r="D44" s="1114"/>
      <c r="E44" s="1114"/>
      <c r="F44" s="1114"/>
      <c r="G44" s="1114"/>
      <c r="H44" s="1114"/>
      <c r="I44" s="1114"/>
      <c r="J44" s="841"/>
      <c r="K44" s="841"/>
    </row>
    <row r="45" spans="2:15">
      <c r="B45" s="1189" t="str">
        <f>"EXTENT OF the amount received and Due from the General Budget of "&amp;TEXT('KEY INPUTS'!D34,"0")&amp;" for an Anticipated Deficit in the"</f>
        <v>EXTENT OF the amount received and Due from the General Budget of 2019 for an Anticipated Deficit in the</v>
      </c>
      <c r="C45" s="1114"/>
      <c r="D45" s="1114"/>
      <c r="E45" s="1114"/>
      <c r="F45" s="1114"/>
      <c r="G45" s="1114"/>
      <c r="H45" s="1114"/>
      <c r="I45" s="1114"/>
      <c r="J45" s="841"/>
      <c r="K45" s="841"/>
    </row>
    <row r="46" spans="2:15">
      <c r="B46" s="1189" t="str">
        <f>PROPER('KEY INPUTS'!D52)&amp;" Utility for "&amp;TEXT('KEY INPUTS'!D34,"0")&amp;""</f>
        <v xml:space="preserve"> Utility for 2019</v>
      </c>
      <c r="C46" s="1114"/>
      <c r="D46" s="1114"/>
      <c r="E46" s="1114"/>
      <c r="F46" s="1114"/>
      <c r="G46" s="1114"/>
      <c r="H46" s="1114"/>
      <c r="I46" s="1114"/>
      <c r="J46" s="841"/>
      <c r="K46" s="841"/>
      <c r="O46"/>
    </row>
    <row r="47" spans="2:15">
      <c r="J47" s="464"/>
      <c r="K47" s="464"/>
      <c r="O47"/>
    </row>
    <row r="48" spans="2:15" ht="21" customHeight="1">
      <c r="B48" s="914" t="str">
        <f>TEXT('KEY INPUTS'!D35,"0")&amp;" Appropriation Reserves Canceled in "&amp;TEXT('KEY INPUTS'!D34,0)</f>
        <v>2018 Appropriation Reserves Canceled in 2019</v>
      </c>
      <c r="C48" s="690"/>
      <c r="D48" s="690"/>
      <c r="E48" s="690"/>
      <c r="F48" s="690"/>
      <c r="G48" s="690"/>
      <c r="H48" s="690"/>
      <c r="I48" s="690"/>
      <c r="J48" s="374"/>
      <c r="K48" s="841"/>
      <c r="O48"/>
    </row>
    <row r="49" spans="2:15" ht="24" customHeight="1">
      <c r="B49" s="690"/>
      <c r="C49" s="1196" t="s">
        <v>949</v>
      </c>
      <c r="D49" s="690"/>
      <c r="E49" s="1798" t="str">
        <f>"Anticipated Deficit in "&amp;TEXT('KEY INPUTS'!D34,"0")&amp;" Budget - Amount Received and Due from Current Fund - If none, enter 'None '"""</f>
        <v>Anticipated Deficit in 2019 Budget - Amount Received and Due from Current Fund - If none, enter 'None '"</v>
      </c>
      <c r="F49" s="1798"/>
      <c r="G49" s="1798"/>
      <c r="H49" s="1798"/>
      <c r="I49" s="1799"/>
      <c r="J49" s="575"/>
      <c r="K49" s="841"/>
      <c r="O49"/>
    </row>
    <row r="50" spans="2:15" ht="21" customHeight="1">
      <c r="B50" s="690" t="s">
        <v>959</v>
      </c>
      <c r="C50" s="690"/>
      <c r="D50" s="690"/>
      <c r="E50" s="690"/>
      <c r="F50" s="690"/>
      <c r="G50" s="690"/>
      <c r="H50" s="690"/>
      <c r="I50" s="690"/>
      <c r="J50" s="663"/>
      <c r="K50" s="851">
        <f>+J48-J49</f>
        <v>0</v>
      </c>
    </row>
    <row r="52" spans="2:15">
      <c r="B52" s="463" t="s">
        <v>3435</v>
      </c>
    </row>
    <row r="53" spans="2:15">
      <c r="B53" s="463"/>
    </row>
    <row r="54" spans="2:15">
      <c r="B54" s="463"/>
    </row>
    <row r="55" spans="2:15">
      <c r="B55" s="463"/>
    </row>
    <row r="56" spans="2:15">
      <c r="B56" s="463"/>
    </row>
    <row r="57" spans="2:15" ht="13.8">
      <c r="B57" s="1765" t="s">
        <v>3434</v>
      </c>
      <c r="C57" s="1765"/>
      <c r="D57" s="1765"/>
      <c r="E57" s="1765"/>
      <c r="F57" s="1765"/>
      <c r="G57" s="1765"/>
      <c r="H57" s="1765"/>
      <c r="I57" s="1765"/>
      <c r="J57" s="1765"/>
      <c r="K57" s="1765"/>
    </row>
  </sheetData>
  <sheetProtection password="CAF9" sheet="1" objects="1" scenarios="1"/>
  <customSheetViews>
    <customSheetView guid="{AC653BD0-46E3-42CB-9C76-32121A57B65A}">
      <selection activeCell="J31" sqref="J31"/>
      <pageMargins left="0.25" right="0.25" top="0.5" bottom="0.5" header="0.25" footer="0.25"/>
      <pageSetup paperSize="5" orientation="portrait" r:id="rId1"/>
      <headerFooter alignWithMargins="0"/>
    </customSheetView>
    <customSheetView guid="{B165479B-DC25-403C-9595-F1A88A4AA9A2}">
      <selection activeCell="J31" sqref="J31"/>
      <pageMargins left="0.25" right="0.25" top="0.5" bottom="0.5" header="0.25" footer="0.25"/>
      <pageSetup paperSize="5" orientation="portrait" r:id="rId2"/>
      <headerFooter alignWithMargins="0"/>
    </customSheetView>
    <customSheetView guid="{A64E4C9E-A3DA-4AAA-8607-F524450B9436}">
      <selection activeCell="J31" sqref="J31"/>
      <pageMargins left="0.25" right="0.25" top="0.5" bottom="0.5" header="0.25" footer="0.25"/>
      <pageSetup paperSize="5" orientation="portrait" r:id="rId3"/>
      <headerFooter alignWithMargins="0"/>
    </customSheetView>
    <customSheetView guid="{AB4FBD91-4533-473A-9702-569FF6402073}">
      <selection activeCell="J31" sqref="J31"/>
      <pageMargins left="0.25" right="0.25" top="0.5" bottom="0.5" header="0.25" footer="0.25"/>
      <pageSetup paperSize="5" orientation="portrait" r:id="rId4"/>
      <headerFooter alignWithMargins="0"/>
    </customSheetView>
  </customSheetViews>
  <mergeCells count="6">
    <mergeCell ref="B57:K57"/>
    <mergeCell ref="E49:I49"/>
    <mergeCell ref="B3:K3"/>
    <mergeCell ref="B5:K5"/>
    <mergeCell ref="B35:D36"/>
    <mergeCell ref="B40:D41"/>
  </mergeCells>
  <pageMargins left="0.25" right="0.25" top="0.5" bottom="0.5" header="0.25" footer="0.25"/>
  <pageSetup paperSize="5" orientation="portrait" r:id="rId5"/>
  <headerFooter alignWithMargins="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2">
    <tabColor theme="6" tint="0.39997558519241921"/>
  </sheetPr>
  <dimension ref="B2:Z52"/>
  <sheetViews>
    <sheetView zoomScaleNormal="100" zoomScaleSheetLayoutView="80" workbookViewId="0">
      <selection activeCell="L8" sqref="L8"/>
    </sheetView>
  </sheetViews>
  <sheetFormatPr defaultColWidth="8.88671875" defaultRowHeight="13.2"/>
  <cols>
    <col min="1" max="5" width="4.6640625" style="398" customWidth="1"/>
    <col min="6" max="8" width="8.88671875" style="398"/>
    <col min="9" max="9" width="6.33203125" style="398" customWidth="1"/>
    <col min="10" max="10" width="8.88671875" style="398"/>
    <col min="11" max="12" width="16.6640625" style="398" customWidth="1"/>
    <col min="13" max="13" width="13.5546875" style="398" bestFit="1" customWidth="1"/>
    <col min="14" max="14" width="11.88671875" style="398" bestFit="1" customWidth="1"/>
    <col min="15" max="16384" width="8.88671875" style="398"/>
  </cols>
  <sheetData>
    <row r="2" spans="2:26" ht="20.399999999999999">
      <c r="B2" s="1788" t="str">
        <f>"RESULTS  OF  "&amp;TEXT('KEY INPUTS'!D34,"0")&amp;"  OPERATIONS  - "&amp;UPPER('KEY INPUTS'!D52)&amp;" UTILITY"</f>
        <v>RESULTS  OF  2019  OPERATIONS  -  UTILITY</v>
      </c>
      <c r="C2" s="1788"/>
      <c r="D2" s="1788"/>
      <c r="E2" s="1788"/>
      <c r="F2" s="1788"/>
      <c r="G2" s="1788"/>
      <c r="H2" s="1788"/>
      <c r="I2" s="1788"/>
      <c r="J2" s="1788"/>
      <c r="K2" s="1788"/>
      <c r="L2" s="1788"/>
    </row>
    <row r="3" spans="2:26" ht="13.8" thickBot="1"/>
    <row r="4" spans="2:26" ht="21" customHeight="1" thickTop="1" thickBot="1">
      <c r="B4" s="475"/>
      <c r="C4" s="475"/>
      <c r="D4" s="475"/>
      <c r="E4" s="475"/>
      <c r="F4" s="475"/>
      <c r="G4" s="475"/>
      <c r="H4" s="475"/>
      <c r="I4" s="475"/>
      <c r="J4" s="475"/>
      <c r="K4" s="1115" t="s">
        <v>125</v>
      </c>
      <c r="L4" s="1116" t="s">
        <v>126</v>
      </c>
    </row>
    <row r="5" spans="2:26" ht="21" customHeight="1" thickTop="1">
      <c r="B5" s="1210" t="s">
        <v>270</v>
      </c>
      <c r="C5" s="1170"/>
      <c r="D5" s="1170"/>
      <c r="E5" s="1170"/>
      <c r="F5" s="1170"/>
      <c r="G5" s="1170"/>
      <c r="H5" s="1170"/>
      <c r="I5" s="457"/>
      <c r="J5" s="457"/>
      <c r="K5" s="1202" t="s">
        <v>787</v>
      </c>
      <c r="L5" s="1203">
        <f>IF(+'44-Utility1'!J20&gt;0,+'44-Utility1'!J22,0)</f>
        <v>0</v>
      </c>
      <c r="N5" s="322"/>
      <c r="O5" s="322"/>
      <c r="P5" s="322"/>
      <c r="Q5" s="322"/>
      <c r="R5" s="322"/>
      <c r="S5" s="322"/>
      <c r="T5" s="322"/>
    </row>
    <row r="6" spans="2:26" ht="21" customHeight="1">
      <c r="B6" s="696" t="s">
        <v>271</v>
      </c>
      <c r="C6" s="690"/>
      <c r="D6" s="690"/>
      <c r="E6" s="690"/>
      <c r="F6" s="690"/>
      <c r="G6" s="690"/>
      <c r="H6" s="690"/>
      <c r="I6" s="402"/>
      <c r="J6" s="402"/>
      <c r="K6" s="1204" t="s">
        <v>787</v>
      </c>
      <c r="L6" s="1205">
        <f>+'44-Utility1'!J40</f>
        <v>0</v>
      </c>
      <c r="M6" s="739"/>
      <c r="N6" s="322"/>
      <c r="O6" s="322"/>
      <c r="P6" s="322"/>
      <c r="Q6" s="322"/>
      <c r="R6" s="322"/>
      <c r="S6" s="322"/>
      <c r="T6" s="322"/>
    </row>
    <row r="7" spans="2:26" ht="21" customHeight="1">
      <c r="B7" s="696" t="s">
        <v>272</v>
      </c>
      <c r="C7" s="690"/>
      <c r="D7" s="690"/>
      <c r="E7" s="690"/>
      <c r="F7" s="690"/>
      <c r="G7" s="690"/>
      <c r="H7" s="690"/>
      <c r="I7" s="402"/>
      <c r="J7" s="402"/>
      <c r="K7" s="1204" t="s">
        <v>787</v>
      </c>
      <c r="L7" s="1124">
        <f>'45-Utility1'!J17</f>
        <v>0</v>
      </c>
      <c r="N7" s="377"/>
      <c r="O7" s="322"/>
      <c r="P7" s="322"/>
      <c r="Q7" s="322"/>
      <c r="R7" s="322"/>
      <c r="S7" s="322"/>
      <c r="T7" s="322"/>
    </row>
    <row r="8" spans="2:26" ht="21" customHeight="1">
      <c r="B8" s="1114" t="str">
        <f>"Unexpended Balances of "&amp;TEXT('KEY INPUTS'!D35,"0")&amp;" Appropriations*"</f>
        <v>Unexpended Balances of 2018 Appropriations*</v>
      </c>
      <c r="C8" s="690"/>
      <c r="D8" s="690"/>
      <c r="E8" s="690"/>
      <c r="F8" s="690"/>
      <c r="G8" s="690"/>
      <c r="H8" s="690"/>
      <c r="I8" s="402"/>
      <c r="J8" s="402"/>
      <c r="K8" s="1204" t="s">
        <v>787</v>
      </c>
      <c r="L8" s="1124">
        <f>+'45-Utility1'!K50</f>
        <v>0</v>
      </c>
      <c r="N8" s="322"/>
      <c r="O8" s="322"/>
      <c r="P8" s="322"/>
      <c r="Q8" s="322"/>
      <c r="R8" s="322"/>
      <c r="S8" s="322"/>
      <c r="T8" s="322"/>
    </row>
    <row r="9" spans="2:26" ht="21" customHeight="1">
      <c r="B9" s="705"/>
      <c r="C9" s="648"/>
      <c r="D9" s="648"/>
      <c r="E9" s="648"/>
      <c r="F9" s="648"/>
      <c r="G9" s="648"/>
      <c r="H9" s="648"/>
      <c r="I9" s="402"/>
      <c r="J9" s="402"/>
      <c r="K9" s="658"/>
      <c r="L9" s="609"/>
      <c r="N9" s="322"/>
      <c r="O9" s="322"/>
      <c r="P9" s="322"/>
      <c r="Q9" s="322"/>
      <c r="R9" s="322"/>
      <c r="S9" s="322"/>
      <c r="T9" s="322"/>
      <c r="V9" s="467"/>
    </row>
    <row r="10" spans="2:26" ht="21" customHeight="1">
      <c r="B10" s="398" t="s">
        <v>3441</v>
      </c>
      <c r="K10" s="1198"/>
      <c r="L10" s="1206" t="s">
        <v>787</v>
      </c>
      <c r="M10" s="1208">
        <f>+L9+L8+L7+L6+L5-K11-K10-K9</f>
        <v>0</v>
      </c>
      <c r="N10" s="710" t="s">
        <v>3665</v>
      </c>
      <c r="O10" s="322"/>
      <c r="P10" s="322"/>
      <c r="Q10" s="322"/>
      <c r="R10" s="322"/>
      <c r="S10" s="322"/>
      <c r="T10" s="322"/>
      <c r="V10" s="822"/>
    </row>
    <row r="11" spans="2:26" ht="21" customHeight="1">
      <c r="B11" s="702"/>
      <c r="C11" s="1199"/>
      <c r="D11" s="648"/>
      <c r="E11" s="648"/>
      <c r="F11" s="648"/>
      <c r="G11" s="648"/>
      <c r="H11" s="648"/>
      <c r="I11" s="402"/>
      <c r="J11" s="402"/>
      <c r="K11" s="601"/>
      <c r="L11" s="1206" t="s">
        <v>787</v>
      </c>
      <c r="N11" s="322"/>
      <c r="O11" s="322"/>
      <c r="P11" s="322"/>
      <c r="Q11" s="322"/>
      <c r="R11" s="322"/>
      <c r="S11" s="322"/>
      <c r="T11" s="322"/>
      <c r="U11"/>
      <c r="V11" s="286"/>
      <c r="W11"/>
      <c r="X11"/>
      <c r="Y11"/>
      <c r="Z11"/>
    </row>
    <row r="12" spans="2:26" ht="21" customHeight="1">
      <c r="B12" s="696" t="s">
        <v>273</v>
      </c>
      <c r="C12" s="1172"/>
      <c r="D12" s="690"/>
      <c r="E12" s="690"/>
      <c r="F12" s="690"/>
      <c r="G12" s="690"/>
      <c r="H12" s="690"/>
      <c r="I12" s="690"/>
      <c r="J12" s="402"/>
      <c r="K12" s="1204" t="s">
        <v>787</v>
      </c>
      <c r="L12" s="1205">
        <f>IF(M10&gt;0,0,M10*-1)</f>
        <v>0</v>
      </c>
      <c r="N12" s="322"/>
      <c r="O12" s="322"/>
      <c r="P12" s="322"/>
      <c r="Q12" s="322"/>
      <c r="R12" s="322"/>
      <c r="S12" s="322"/>
      <c r="T12" s="322"/>
      <c r="U12"/>
      <c r="V12" s="286"/>
      <c r="W12"/>
      <c r="X12"/>
      <c r="Y12"/>
      <c r="Z12"/>
    </row>
    <row r="13" spans="2:26" ht="21" customHeight="1" thickBot="1">
      <c r="B13" s="696" t="s">
        <v>274</v>
      </c>
      <c r="C13" s="1172"/>
      <c r="D13" s="690"/>
      <c r="E13" s="690"/>
      <c r="F13" s="690"/>
      <c r="G13" s="690"/>
      <c r="H13" s="690"/>
      <c r="I13" s="690"/>
      <c r="J13" s="402"/>
      <c r="K13" s="689">
        <f>IF(M10&gt;0,M10,0)</f>
        <v>0</v>
      </c>
      <c r="L13" s="1207" t="s">
        <v>787</v>
      </c>
      <c r="M13" s="399"/>
      <c r="N13" s="322"/>
      <c r="O13" s="322"/>
      <c r="P13" s="322"/>
      <c r="Q13" s="322"/>
      <c r="R13" s="322"/>
      <c r="S13" s="322"/>
      <c r="T13" s="322"/>
      <c r="U13"/>
      <c r="V13" s="823"/>
      <c r="W13"/>
      <c r="X13"/>
      <c r="Y13"/>
      <c r="Z13"/>
    </row>
    <row r="14" spans="2:26" ht="21" customHeight="1" thickBot="1">
      <c r="B14" s="1209" t="s">
        <v>3440</v>
      </c>
      <c r="C14" s="1114"/>
      <c r="D14" s="1114"/>
      <c r="E14" s="1114"/>
      <c r="F14" s="1114"/>
      <c r="G14" s="1114"/>
      <c r="H14" s="1114"/>
      <c r="I14" s="1114"/>
      <c r="K14" s="1131">
        <f>SUM(K5:K13)</f>
        <v>0</v>
      </c>
      <c r="L14" s="1132">
        <f>SUM(L5:L13)</f>
        <v>0</v>
      </c>
      <c r="M14" s="1208">
        <f>L14-K14</f>
        <v>0</v>
      </c>
      <c r="N14" s="322"/>
      <c r="O14" s="322"/>
      <c r="P14" s="322"/>
      <c r="Q14" s="322"/>
      <c r="R14" s="322"/>
      <c r="S14" s="322"/>
      <c r="T14" s="322"/>
      <c r="U14"/>
      <c r="V14"/>
      <c r="W14"/>
      <c r="X14"/>
      <c r="Y14"/>
      <c r="Z14"/>
    </row>
    <row r="15" spans="2:26" ht="18.75" customHeight="1" thickTop="1">
      <c r="N15" s="322"/>
      <c r="O15" s="322"/>
      <c r="P15" s="322"/>
      <c r="Q15" s="322"/>
      <c r="R15" s="322"/>
      <c r="S15" s="322"/>
      <c r="T15" s="322"/>
    </row>
    <row r="16" spans="2:26" ht="18.75" customHeight="1">
      <c r="K16" s="399"/>
      <c r="N16" s="322"/>
      <c r="O16" s="322"/>
      <c r="P16" s="322"/>
      <c r="Q16" s="322"/>
      <c r="R16" s="322"/>
      <c r="S16" s="322"/>
      <c r="T16" s="322"/>
    </row>
    <row r="17" spans="2:20" ht="22.8">
      <c r="B17" s="1759" t="str">
        <f>"OPERATING  SURPLUS  - "&amp;UPPER('KEY INPUTS'!D52)&amp;" UTILITY"</f>
        <v>OPERATING  SURPLUS  -  UTILITY</v>
      </c>
      <c r="C17" s="1759"/>
      <c r="D17" s="1759"/>
      <c r="E17" s="1759"/>
      <c r="F17" s="1759"/>
      <c r="G17" s="1759"/>
      <c r="H17" s="1759"/>
      <c r="I17" s="1759"/>
      <c r="J17" s="1759"/>
      <c r="K17" s="1759"/>
      <c r="L17" s="1759"/>
      <c r="N17" s="322"/>
      <c r="O17" s="322"/>
      <c r="P17" s="322"/>
      <c r="Q17" s="322"/>
      <c r="R17" s="322"/>
      <c r="S17" s="322"/>
      <c r="T17" s="322"/>
    </row>
    <row r="18" spans="2:20" ht="6.75" customHeight="1" thickBot="1">
      <c r="N18" s="322"/>
      <c r="O18" s="322"/>
      <c r="P18" s="322"/>
      <c r="Q18" s="322"/>
      <c r="R18" s="322"/>
      <c r="S18" s="322"/>
      <c r="T18" s="322"/>
    </row>
    <row r="19" spans="2:20" ht="25.5" customHeight="1" thickTop="1" thickBot="1">
      <c r="B19" s="475"/>
      <c r="C19" s="475"/>
      <c r="D19" s="475"/>
      <c r="E19" s="475"/>
      <c r="F19" s="475"/>
      <c r="G19" s="475"/>
      <c r="H19" s="475"/>
      <c r="I19" s="475"/>
      <c r="J19" s="475"/>
      <c r="K19" s="1115" t="s">
        <v>125</v>
      </c>
      <c r="L19" s="1116" t="s">
        <v>126</v>
      </c>
      <c r="N19" s="322"/>
      <c r="O19" s="322"/>
      <c r="P19" s="322"/>
      <c r="Q19" s="322"/>
      <c r="R19" s="322"/>
      <c r="S19" s="322"/>
      <c r="T19" s="322"/>
    </row>
    <row r="20" spans="2:20" ht="21" customHeight="1" thickTop="1">
      <c r="B20" s="1211" t="str">
        <f>'KEY INPUTS'!D25</f>
        <v>Balance - January 1, 2019</v>
      </c>
      <c r="C20" s="1170"/>
      <c r="D20" s="1170"/>
      <c r="E20" s="1170"/>
      <c r="F20" s="1170"/>
      <c r="G20" s="1170"/>
      <c r="H20" s="1170"/>
      <c r="I20" s="1170"/>
      <c r="J20" s="1170"/>
      <c r="K20" s="1202" t="s">
        <v>787</v>
      </c>
      <c r="L20" s="639"/>
      <c r="N20" s="322"/>
      <c r="O20" s="322"/>
      <c r="P20" s="322"/>
      <c r="Q20" s="322"/>
      <c r="R20" s="322"/>
      <c r="S20" s="322"/>
      <c r="T20" s="322"/>
    </row>
    <row r="21" spans="2:20" ht="21" customHeight="1">
      <c r="B21" s="1200"/>
      <c r="C21" s="648"/>
      <c r="D21" s="648"/>
      <c r="E21" s="648"/>
      <c r="F21" s="648"/>
      <c r="G21" s="648"/>
      <c r="H21" s="648"/>
      <c r="I21" s="648"/>
      <c r="J21" s="648"/>
      <c r="K21" s="1198"/>
      <c r="L21" s="631"/>
      <c r="N21" s="322"/>
      <c r="O21" s="322"/>
      <c r="P21" s="322"/>
      <c r="Q21" s="322"/>
      <c r="R21" s="322"/>
      <c r="S21" s="322"/>
      <c r="T21" s="322"/>
    </row>
    <row r="22" spans="2:20" ht="21" customHeight="1">
      <c r="B22" s="914" t="str">
        <f>"Excess in Results of "&amp;TEXT('KEY INPUTS'!D34,"0")&amp;" Operations"</f>
        <v>Excess in Results of 2019 Operations</v>
      </c>
      <c r="C22" s="690"/>
      <c r="D22" s="690"/>
      <c r="E22" s="690"/>
      <c r="F22" s="690"/>
      <c r="G22" s="690"/>
      <c r="H22" s="690"/>
      <c r="I22" s="690"/>
      <c r="J22" s="690"/>
      <c r="K22" s="1204" t="s">
        <v>787</v>
      </c>
      <c r="L22" s="1212">
        <f>+K13</f>
        <v>0</v>
      </c>
    </row>
    <row r="23" spans="2:20" ht="21" customHeight="1">
      <c r="B23" s="914" t="str">
        <f>"Amount Appropriated in the "&amp;TEXT('KEY INPUTS'!D34,"0")&amp;" Budget - Cash"</f>
        <v>Amount Appropriated in the 2019 Budget - Cash</v>
      </c>
      <c r="C23" s="690"/>
      <c r="D23" s="690"/>
      <c r="E23" s="690"/>
      <c r="F23" s="690"/>
      <c r="G23" s="690"/>
      <c r="H23" s="690"/>
      <c r="I23" s="690"/>
      <c r="J23" s="690"/>
      <c r="K23" s="689">
        <f>'44-Utility1'!I7</f>
        <v>0</v>
      </c>
      <c r="L23" s="1206" t="s">
        <v>787</v>
      </c>
    </row>
    <row r="24" spans="2:20" ht="11.25" customHeight="1">
      <c r="B24" s="1189" t="str">
        <f>"Amount Appropriated in "&amp;TEXT('KEY INPUTS'!D34,"0")&amp;" Budget with Prior Written"</f>
        <v>Amount Appropriated in 2019 Budget with Prior Written</v>
      </c>
      <c r="C24" s="1114"/>
      <c r="D24" s="1114"/>
      <c r="E24" s="1114"/>
      <c r="F24" s="1114"/>
      <c r="G24" s="1114"/>
      <c r="H24" s="1114"/>
      <c r="I24" s="1114"/>
      <c r="J24" s="1114"/>
      <c r="K24" s="1807"/>
      <c r="L24" s="1809" t="s">
        <v>787</v>
      </c>
    </row>
    <row r="25" spans="2:20" ht="12.75" customHeight="1">
      <c r="B25" s="1128" t="s">
        <v>1065</v>
      </c>
      <c r="C25" s="1128"/>
      <c r="D25" s="1128"/>
      <c r="E25" s="1128"/>
      <c r="F25" s="1128"/>
      <c r="G25" s="1128"/>
      <c r="H25" s="1128"/>
      <c r="I25" s="1128"/>
      <c r="J25" s="1128"/>
      <c r="K25" s="1808"/>
      <c r="L25" s="1810"/>
    </row>
    <row r="26" spans="2:20" ht="21" customHeight="1">
      <c r="B26" s="1200"/>
      <c r="C26" s="648"/>
      <c r="D26" s="648"/>
      <c r="E26" s="648"/>
      <c r="F26" s="648"/>
      <c r="G26" s="648"/>
      <c r="H26" s="648"/>
      <c r="I26" s="648"/>
      <c r="J26" s="648"/>
      <c r="K26" s="601"/>
      <c r="L26" s="1201"/>
    </row>
    <row r="27" spans="2:20" ht="21" customHeight="1" thickBot="1">
      <c r="B27" s="690" t="str">
        <f>'KEY INPUTS'!D26</f>
        <v>Balance - December 31, 2019</v>
      </c>
      <c r="C27" s="690"/>
      <c r="D27" s="690"/>
      <c r="E27" s="690"/>
      <c r="F27" s="690"/>
      <c r="G27" s="690"/>
      <c r="H27" s="690"/>
      <c r="I27" s="690"/>
      <c r="J27" s="690"/>
      <c r="K27" s="1129">
        <f>+SUM(L20:L26)-SUM(K21:K26)</f>
        <v>0</v>
      </c>
      <c r="L27" s="1207" t="s">
        <v>787</v>
      </c>
      <c r="N27" s="776" t="s">
        <v>3529</v>
      </c>
    </row>
    <row r="28" spans="2:20" ht="21" customHeight="1" thickBot="1">
      <c r="K28" s="1131">
        <f>SUM(K21:K27)</f>
        <v>0</v>
      </c>
      <c r="L28" s="1132">
        <f>SUM(L20:L27)</f>
        <v>0</v>
      </c>
    </row>
    <row r="29" spans="2:20" ht="13.8" thickTop="1">
      <c r="K29" s="1114"/>
      <c r="L29" s="1114"/>
    </row>
    <row r="32" spans="2:20" ht="17.399999999999999">
      <c r="B32" s="1805" t="str">
        <f>"ANALYSIS  OF  BALANCE  DECEMBER 31, "&amp;TEXT('KEY INPUTS'!D34,"0")&amp;""</f>
        <v>ANALYSIS  OF  BALANCE  DECEMBER 31, 2019</v>
      </c>
      <c r="C32" s="1805"/>
      <c r="D32" s="1805"/>
      <c r="E32" s="1805"/>
      <c r="F32" s="1805"/>
      <c r="G32" s="1805"/>
      <c r="H32" s="1805"/>
      <c r="I32" s="1805"/>
      <c r="J32" s="1805"/>
      <c r="K32" s="1805"/>
      <c r="L32" s="1805"/>
    </row>
    <row r="33" spans="2:14" ht="17.399999999999999">
      <c r="B33" s="1806" t="str">
        <f>"(FROM "&amp;UPPER('KEY INPUTS'!D52)&amp;" UTILITY  -  TRIAL  BALANCE)"</f>
        <v>(FROM  UTILITY  -  TRIAL  BALANCE)</v>
      </c>
      <c r="C33" s="1806"/>
      <c r="D33" s="1806"/>
      <c r="E33" s="1806"/>
      <c r="F33" s="1806"/>
      <c r="G33" s="1806"/>
      <c r="H33" s="1806"/>
      <c r="I33" s="1806"/>
      <c r="J33" s="1806"/>
      <c r="K33" s="1806"/>
      <c r="L33" s="1806"/>
    </row>
    <row r="34" spans="2:14" ht="13.8" thickBot="1"/>
    <row r="35" spans="2:14" ht="21" customHeight="1" thickTop="1">
      <c r="B35" s="1170" t="s">
        <v>253</v>
      </c>
      <c r="C35" s="1170"/>
      <c r="D35" s="1170"/>
      <c r="E35" s="1170"/>
      <c r="F35" s="1170"/>
      <c r="G35" s="1170"/>
      <c r="H35" s="1170"/>
      <c r="I35" s="1170"/>
      <c r="J35" s="1170"/>
      <c r="K35" s="1214"/>
      <c r="L35" s="1213">
        <f>+'41-Utility1 '!G13</f>
        <v>0</v>
      </c>
    </row>
    <row r="36" spans="2:14" ht="21" customHeight="1">
      <c r="B36" s="690" t="s">
        <v>419</v>
      </c>
      <c r="C36" s="690"/>
      <c r="D36" s="690"/>
      <c r="E36" s="690"/>
      <c r="F36" s="690"/>
      <c r="G36" s="690"/>
      <c r="H36" s="690"/>
      <c r="I36" s="690"/>
      <c r="J36" s="690"/>
      <c r="K36" s="1215"/>
      <c r="L36" s="631"/>
    </row>
    <row r="37" spans="2:14" ht="21" customHeight="1" thickBot="1">
      <c r="B37" s="690" t="s">
        <v>829</v>
      </c>
      <c r="C37" s="690"/>
      <c r="D37" s="690"/>
      <c r="E37" s="690"/>
      <c r="F37" s="690"/>
      <c r="G37" s="690"/>
      <c r="H37" s="690"/>
      <c r="I37" s="690"/>
      <c r="J37" s="690"/>
      <c r="K37" s="1215"/>
      <c r="L37" s="633"/>
    </row>
    <row r="38" spans="2:14" ht="21" customHeight="1" thickTop="1">
      <c r="B38" s="690"/>
      <c r="C38" s="690"/>
      <c r="D38" s="690" t="s">
        <v>421</v>
      </c>
      <c r="E38" s="690"/>
      <c r="F38" s="690"/>
      <c r="G38" s="690"/>
      <c r="H38" s="690"/>
      <c r="I38" s="690"/>
      <c r="J38" s="690"/>
      <c r="K38" s="1215"/>
      <c r="L38" s="1216">
        <f>SUM(L35:L37)</f>
        <v>0</v>
      </c>
    </row>
    <row r="39" spans="2:14" ht="21" customHeight="1" thickBot="1">
      <c r="B39" s="690" t="s">
        <v>470</v>
      </c>
      <c r="C39" s="690"/>
      <c r="D39" s="690"/>
      <c r="E39" s="690"/>
      <c r="F39" s="690"/>
      <c r="G39" s="690"/>
      <c r="H39" s="690"/>
      <c r="I39" s="690"/>
      <c r="J39" s="690"/>
      <c r="K39" s="1215"/>
      <c r="L39" s="1217">
        <f>+'41-Utility1 '!H39</f>
        <v>0</v>
      </c>
    </row>
    <row r="40" spans="2:14" ht="21" customHeight="1" thickTop="1">
      <c r="B40" s="690"/>
      <c r="C40" s="690"/>
      <c r="D40" s="690" t="s">
        <v>268</v>
      </c>
      <c r="E40" s="690"/>
      <c r="F40" s="690"/>
      <c r="G40" s="690"/>
      <c r="H40" s="690"/>
      <c r="I40" s="690"/>
      <c r="J40" s="690"/>
      <c r="K40" s="1215"/>
      <c r="L40" s="1216">
        <f>+L38-L39</f>
        <v>0</v>
      </c>
    </row>
    <row r="41" spans="2:14" ht="21" customHeight="1">
      <c r="B41" s="690" t="s">
        <v>477</v>
      </c>
      <c r="C41" s="690"/>
      <c r="D41" s="690"/>
      <c r="E41" s="690"/>
      <c r="F41" s="690"/>
      <c r="G41" s="690"/>
      <c r="H41" s="690"/>
      <c r="I41" s="690"/>
      <c r="J41" s="690"/>
      <c r="K41" s="691"/>
      <c r="L41" s="1120"/>
    </row>
    <row r="42" spans="2:14" ht="22.5" customHeight="1">
      <c r="B42" s="690"/>
      <c r="C42" s="1804" t="s">
        <v>473</v>
      </c>
      <c r="D42" s="1804"/>
      <c r="E42" s="1804"/>
      <c r="F42" s="1804"/>
      <c r="G42" s="1804"/>
      <c r="H42" s="1223"/>
      <c r="I42" s="690"/>
      <c r="J42" s="690"/>
      <c r="K42" s="601"/>
      <c r="L42" s="1120"/>
    </row>
    <row r="43" spans="2:14" ht="21" customHeight="1">
      <c r="B43" s="690"/>
      <c r="C43" s="690" t="s">
        <v>269</v>
      </c>
      <c r="D43" s="690"/>
      <c r="E43" s="690"/>
      <c r="F43" s="690"/>
      <c r="G43" s="690"/>
      <c r="H43" s="690"/>
      <c r="I43" s="690"/>
      <c r="J43" s="690"/>
      <c r="K43" s="601"/>
      <c r="L43" s="1120"/>
      <c r="M43" s="399"/>
      <c r="N43" s="399"/>
    </row>
    <row r="44" spans="2:14" ht="21" customHeight="1" thickBot="1">
      <c r="B44" s="690"/>
      <c r="C44" s="690"/>
      <c r="D44" s="690" t="s">
        <v>475</v>
      </c>
      <c r="E44" s="690"/>
      <c r="F44" s="690"/>
      <c r="G44" s="690"/>
      <c r="H44" s="690"/>
      <c r="I44" s="690"/>
      <c r="J44" s="690"/>
      <c r="K44" s="1219"/>
      <c r="L44" s="1130">
        <f>SUM(K42:K43)</f>
        <v>0</v>
      </c>
    </row>
    <row r="45" spans="2:14" ht="21" customHeight="1" thickBot="1">
      <c r="B45" s="1220" t="str">
        <f>"# MAY NOT BE ANTICIPATED AS NON-CASH SURPLUS IN "&amp;TEXT('KEY INPUTS'!D34,"0")&amp;" BUDGET."</f>
        <v># MAY NOT BE ANTICIPATED AS NON-CASH SURPLUS IN 2019 BUDGET.</v>
      </c>
      <c r="C45" s="1114"/>
      <c r="D45" s="1114"/>
      <c r="E45" s="1114"/>
      <c r="F45" s="1114"/>
      <c r="G45" s="1114"/>
      <c r="H45" s="1114"/>
      <c r="I45" s="1114"/>
      <c r="J45" s="1114"/>
      <c r="K45" s="1221"/>
      <c r="L45" s="1218">
        <f>+L40+L44</f>
        <v>0</v>
      </c>
      <c r="M45" s="399"/>
      <c r="N45" s="776" t="s">
        <v>3529</v>
      </c>
    </row>
    <row r="46" spans="2:14" ht="13.8" thickTop="1">
      <c r="B46" s="1222" t="s">
        <v>275</v>
      </c>
      <c r="C46" s="1222"/>
      <c r="D46" s="1114"/>
      <c r="E46" s="1114"/>
      <c r="F46" s="1114"/>
      <c r="G46" s="1114"/>
      <c r="H46" s="1114"/>
      <c r="I46" s="1114"/>
      <c r="J46" s="1114"/>
      <c r="K46" s="1114"/>
    </row>
    <row r="47" spans="2:14">
      <c r="B47" s="1222"/>
      <c r="C47" s="1222" t="s">
        <v>3439</v>
      </c>
      <c r="D47" s="1114"/>
      <c r="E47" s="1114"/>
      <c r="F47" s="1114"/>
      <c r="G47" s="1114"/>
      <c r="H47" s="1114"/>
      <c r="I47" s="1114"/>
      <c r="J47" s="1114"/>
      <c r="K47" s="1114"/>
    </row>
    <row r="52" spans="2:12" ht="13.8">
      <c r="B52" s="1765" t="s">
        <v>3438</v>
      </c>
      <c r="C52" s="1765"/>
      <c r="D52" s="1765"/>
      <c r="E52" s="1765"/>
      <c r="F52" s="1765"/>
      <c r="G52" s="1765"/>
      <c r="H52" s="1765"/>
      <c r="I52" s="1765"/>
      <c r="J52" s="1765"/>
      <c r="K52" s="1765"/>
      <c r="L52" s="1765"/>
    </row>
  </sheetData>
  <sheetProtection algorithmName="SHA-512" hashValue="wdHscbVsF0kaHbkU1zlA2moJBzzDw9APHKItqfTCcOL8PUroOWKT3lCyGQgLwwU5+uypTRRhmf0jXQnwPn+c3w==" saltValue="JUIoETOwXgHZQgtp+sCZbA==" spinCount="100000" sheet="1" objects="1" scenarios="1"/>
  <customSheetViews>
    <customSheetView guid="{AC653BD0-46E3-42CB-9C76-32121A57B65A}">
      <selection activeCell="L8" sqref="L8"/>
      <pageMargins left="0.25" right="0.25" top="0.5" bottom="0.5" header="0.25" footer="0.25"/>
      <pageSetup paperSize="5" orientation="portrait" r:id="rId1"/>
      <headerFooter alignWithMargins="0"/>
    </customSheetView>
    <customSheetView guid="{B165479B-DC25-403C-9595-F1A88A4AA9A2}">
      <selection activeCell="L8" sqref="L8"/>
      <pageMargins left="0.25" right="0.25" top="0.5" bottom="0.5" header="0.25" footer="0.25"/>
      <pageSetup paperSize="5" orientation="portrait" r:id="rId2"/>
      <headerFooter alignWithMargins="0"/>
    </customSheetView>
    <customSheetView guid="{A64E4C9E-A3DA-4AAA-8607-F524450B9436}">
      <selection activeCell="L8" sqref="L8"/>
      <pageMargins left="0.25" right="0.25" top="0.5" bottom="0.5" header="0.25" footer="0.25"/>
      <pageSetup paperSize="5" orientation="portrait" r:id="rId3"/>
      <headerFooter alignWithMargins="0"/>
    </customSheetView>
    <customSheetView guid="{AB4FBD91-4533-473A-9702-569FF6402073}">
      <selection activeCell="L8" sqref="L8"/>
      <pageMargins left="0.25" right="0.25" top="0.5" bottom="0.5" header="0.25" footer="0.25"/>
      <pageSetup paperSize="5" orientation="portrait" r:id="rId4"/>
      <headerFooter alignWithMargins="0"/>
    </customSheetView>
  </customSheetViews>
  <mergeCells count="8">
    <mergeCell ref="B2:L2"/>
    <mergeCell ref="C42:G42"/>
    <mergeCell ref="B52:L52"/>
    <mergeCell ref="B17:L17"/>
    <mergeCell ref="B32:L32"/>
    <mergeCell ref="B33:L33"/>
    <mergeCell ref="K24:K25"/>
    <mergeCell ref="L24:L25"/>
  </mergeCells>
  <pageMargins left="0.25" right="0.25" top="0.5" bottom="0.5" header="0.25" footer="0.25"/>
  <pageSetup paperSize="5" orientation="portrait" r:id="rId5"/>
  <headerFooter alignWithMargins="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3">
    <tabColor theme="6" tint="0.39997558519241921"/>
  </sheetPr>
  <dimension ref="B3:T69"/>
  <sheetViews>
    <sheetView zoomScaleNormal="100" zoomScaleSheetLayoutView="80" workbookViewId="0">
      <selection activeCell="B1" sqref="B1"/>
    </sheetView>
  </sheetViews>
  <sheetFormatPr defaultColWidth="9.109375" defaultRowHeight="13.2"/>
  <cols>
    <col min="1" max="4" width="4.6640625" style="331" customWidth="1"/>
    <col min="5" max="8" width="9.109375" style="331"/>
    <col min="9" max="9" width="1.6640625" style="331" customWidth="1"/>
    <col min="10" max="10" width="16.6640625" style="331" customWidth="1"/>
    <col min="11" max="11" width="1.6640625" style="331" customWidth="1"/>
    <col min="12" max="12" width="16.6640625" style="331" customWidth="1"/>
    <col min="13" max="16384" width="9.109375" style="331"/>
  </cols>
  <sheetData>
    <row r="3" spans="2:20" ht="17.399999999999999">
      <c r="B3" s="1811" t="str">
        <f>"SCHEDULE  OF "&amp;UPPER('KEY INPUTS'!D52&amp;"  UTILITY  ACCOUNTS  RECEIVABLE")</f>
        <v>SCHEDULE  OF   UTILITY  ACCOUNTS  RECEIVABLE</v>
      </c>
      <c r="C3" s="1811"/>
      <c r="D3" s="1811"/>
      <c r="E3" s="1811"/>
      <c r="F3" s="1811"/>
      <c r="G3" s="1811"/>
      <c r="H3" s="1811"/>
      <c r="I3" s="1811"/>
      <c r="J3" s="1811"/>
      <c r="K3" s="1811"/>
      <c r="L3" s="1811"/>
    </row>
    <row r="6" spans="2:20">
      <c r="B6" s="480" t="str">
        <f>"Balance December 31, "&amp;'KEY INPUTS'!D35</f>
        <v>Balance December 31, 2018</v>
      </c>
      <c r="J6" s="287"/>
      <c r="K6" s="331" t="s">
        <v>482</v>
      </c>
      <c r="L6" s="580"/>
      <c r="N6" s="322"/>
      <c r="O6" s="322"/>
      <c r="P6" s="322"/>
      <c r="Q6" s="322"/>
      <c r="R6" s="322"/>
      <c r="S6" s="322"/>
      <c r="T6" s="322"/>
    </row>
    <row r="7" spans="2:20">
      <c r="J7" s="287"/>
      <c r="K7" s="287"/>
      <c r="L7" s="287"/>
      <c r="N7" s="322"/>
      <c r="O7" s="322"/>
      <c r="P7" s="322"/>
      <c r="Q7" s="322"/>
      <c r="R7" s="322"/>
      <c r="S7" s="322"/>
      <c r="T7" s="322"/>
    </row>
    <row r="8" spans="2:20">
      <c r="J8" s="287"/>
      <c r="K8" s="287"/>
      <c r="L8" s="287"/>
      <c r="N8" s="377"/>
      <c r="O8" s="322"/>
      <c r="P8" s="322"/>
      <c r="Q8" s="322"/>
      <c r="R8" s="322"/>
      <c r="S8" s="322"/>
      <c r="T8" s="322"/>
    </row>
    <row r="9" spans="2:20">
      <c r="J9" s="287"/>
      <c r="K9" s="287"/>
      <c r="L9" s="287"/>
      <c r="N9" s="322"/>
      <c r="O9" s="322"/>
      <c r="P9" s="322"/>
      <c r="Q9" s="322"/>
      <c r="R9" s="322"/>
      <c r="S9" s="322"/>
      <c r="T9" s="322"/>
    </row>
    <row r="10" spans="2:20">
      <c r="B10" s="331" t="s">
        <v>276</v>
      </c>
      <c r="J10" s="287"/>
      <c r="K10" s="287"/>
      <c r="L10" s="287"/>
      <c r="N10" s="322"/>
      <c r="O10" s="322"/>
      <c r="P10" s="322"/>
      <c r="Q10" s="322"/>
      <c r="R10" s="322"/>
      <c r="S10" s="322"/>
      <c r="T10" s="322"/>
    </row>
    <row r="11" spans="2:20">
      <c r="D11" s="1192" t="s">
        <v>3780</v>
      </c>
      <c r="E11" s="1192"/>
      <c r="F11" s="1192"/>
      <c r="G11" s="1114"/>
      <c r="J11" s="287"/>
      <c r="K11" s="331" t="s">
        <v>482</v>
      </c>
      <c r="L11" s="580"/>
      <c r="N11" s="322"/>
      <c r="O11" s="322"/>
      <c r="P11" s="322"/>
      <c r="Q11" s="322"/>
      <c r="R11" s="322"/>
      <c r="S11" s="322"/>
      <c r="T11" s="322"/>
    </row>
    <row r="12" spans="2:20">
      <c r="J12" s="287"/>
      <c r="K12" s="287"/>
      <c r="L12" s="287"/>
      <c r="N12" s="322"/>
      <c r="O12" s="322"/>
      <c r="P12" s="322"/>
      <c r="Q12" s="322"/>
      <c r="R12" s="322"/>
      <c r="S12" s="322"/>
      <c r="T12" s="322"/>
    </row>
    <row r="13" spans="2:20">
      <c r="J13" s="287"/>
      <c r="K13" s="287"/>
      <c r="L13" s="287"/>
      <c r="N13" s="322"/>
      <c r="O13" s="322"/>
      <c r="P13" s="322"/>
      <c r="Q13" s="322"/>
      <c r="R13" s="322"/>
      <c r="S13" s="322"/>
      <c r="T13" s="322"/>
    </row>
    <row r="14" spans="2:20">
      <c r="J14" s="287"/>
      <c r="K14" s="287"/>
      <c r="L14" s="287"/>
      <c r="N14" s="322"/>
      <c r="O14" s="322"/>
      <c r="P14" s="322"/>
      <c r="Q14" s="322"/>
      <c r="R14" s="322"/>
      <c r="S14" s="322"/>
      <c r="T14" s="322"/>
    </row>
    <row r="15" spans="2:20">
      <c r="B15" s="331" t="s">
        <v>277</v>
      </c>
      <c r="J15" s="287"/>
      <c r="K15" s="287"/>
      <c r="L15" s="287"/>
      <c r="N15" s="322"/>
      <c r="O15" s="322"/>
      <c r="P15" s="322"/>
      <c r="Q15" s="322"/>
      <c r="R15" s="322"/>
      <c r="S15" s="322"/>
      <c r="T15" s="322"/>
    </row>
    <row r="16" spans="2:20" ht="21" customHeight="1">
      <c r="D16" s="331" t="s">
        <v>278</v>
      </c>
      <c r="I16" s="331" t="s">
        <v>482</v>
      </c>
      <c r="J16" s="580"/>
      <c r="K16" s="287"/>
      <c r="L16" s="287"/>
      <c r="N16" s="322"/>
      <c r="O16" s="322"/>
      <c r="P16" s="322"/>
      <c r="Q16" s="322"/>
      <c r="R16" s="322"/>
      <c r="S16" s="322"/>
      <c r="T16" s="322"/>
    </row>
    <row r="17" spans="2:20" ht="21" customHeight="1">
      <c r="D17" s="331" t="s">
        <v>279</v>
      </c>
      <c r="I17" s="331" t="s">
        <v>482</v>
      </c>
      <c r="J17" s="580"/>
      <c r="K17" s="287"/>
      <c r="L17" s="287"/>
      <c r="N17" s="322"/>
      <c r="O17" s="322"/>
      <c r="P17" s="322"/>
      <c r="Q17" s="322"/>
      <c r="R17" s="322"/>
      <c r="S17" s="322"/>
      <c r="T17" s="322"/>
    </row>
    <row r="18" spans="2:20" ht="21" customHeight="1">
      <c r="D18" s="1114" t="s">
        <v>3784</v>
      </c>
      <c r="E18" s="1114"/>
      <c r="F18" s="1192"/>
      <c r="G18" s="1192"/>
      <c r="I18" s="331" t="s">
        <v>482</v>
      </c>
      <c r="J18" s="580"/>
      <c r="K18" s="287"/>
      <c r="L18" s="287"/>
      <c r="N18" s="322"/>
      <c r="O18" s="322"/>
      <c r="P18" s="322"/>
      <c r="Q18" s="322"/>
      <c r="R18" s="322"/>
      <c r="S18" s="322"/>
      <c r="T18" s="322"/>
    </row>
    <row r="19" spans="2:20" ht="21" customHeight="1">
      <c r="D19" s="331" t="s">
        <v>280</v>
      </c>
      <c r="I19" s="331" t="s">
        <v>482</v>
      </c>
      <c r="J19" s="580"/>
      <c r="K19" s="287"/>
      <c r="L19" s="287"/>
      <c r="N19" s="322"/>
      <c r="O19" s="322"/>
      <c r="P19" s="322"/>
      <c r="Q19" s="322"/>
      <c r="R19" s="322"/>
      <c r="S19" s="322"/>
      <c r="T19" s="322"/>
    </row>
    <row r="20" spans="2:20">
      <c r="J20" s="287"/>
      <c r="K20" s="287"/>
      <c r="L20" s="287"/>
      <c r="N20" s="322"/>
      <c r="O20" s="322"/>
      <c r="P20" s="322"/>
      <c r="Q20" s="322"/>
      <c r="R20" s="322"/>
      <c r="S20" s="322"/>
      <c r="T20" s="322"/>
    </row>
    <row r="21" spans="2:20">
      <c r="J21" s="287"/>
      <c r="K21" s="331" t="s">
        <v>482</v>
      </c>
      <c r="L21" s="67">
        <f>SUM(J16:J19)</f>
        <v>0</v>
      </c>
      <c r="N21" s="322"/>
      <c r="O21" s="322"/>
      <c r="P21" s="322"/>
      <c r="Q21" s="322"/>
      <c r="R21" s="322"/>
      <c r="S21" s="322"/>
      <c r="T21" s="322"/>
    </row>
    <row r="22" spans="2:20">
      <c r="J22" s="287"/>
      <c r="K22" s="287"/>
      <c r="L22" s="287"/>
      <c r="N22" s="322"/>
      <c r="O22" s="322"/>
      <c r="P22" s="322"/>
      <c r="Q22" s="322"/>
      <c r="R22" s="322"/>
      <c r="S22" s="322"/>
      <c r="T22" s="322"/>
    </row>
    <row r="23" spans="2:20">
      <c r="J23" s="287"/>
      <c r="K23" s="287"/>
      <c r="L23" s="287"/>
    </row>
    <row r="24" spans="2:20" ht="13.8" thickBot="1">
      <c r="B24" s="478" t="str">
        <f>"Balance December 31, "&amp;'KEY INPUTS'!D34</f>
        <v>Balance December 31, 2019</v>
      </c>
      <c r="J24" s="287"/>
      <c r="K24" s="331" t="s">
        <v>482</v>
      </c>
      <c r="L24" s="84">
        <f>+L6+L11-L21</f>
        <v>0</v>
      </c>
    </row>
    <row r="25" spans="2:20" ht="13.8" thickTop="1"/>
    <row r="28" spans="2:20">
      <c r="B28" s="479"/>
      <c r="C28" s="479"/>
      <c r="D28" s="479"/>
      <c r="E28" s="479"/>
      <c r="F28" s="479"/>
      <c r="G28" s="479"/>
      <c r="H28" s="479"/>
      <c r="I28" s="479"/>
      <c r="J28" s="479"/>
      <c r="K28" s="479"/>
      <c r="L28" s="479"/>
    </row>
    <row r="29" spans="2:20" ht="4.5" customHeight="1">
      <c r="B29" s="479"/>
      <c r="C29" s="479"/>
      <c r="D29" s="479"/>
      <c r="E29" s="479"/>
      <c r="F29" s="479"/>
      <c r="G29" s="479"/>
      <c r="H29" s="479"/>
      <c r="I29" s="479"/>
      <c r="J29" s="479"/>
      <c r="K29" s="479"/>
      <c r="L29" s="479"/>
    </row>
    <row r="33" spans="2:12" ht="17.399999999999999">
      <c r="B33" s="1805" t="str">
        <f>"SCHEDULE  OF "&amp;UPPER('KEY INPUTS'!D52)&amp;" UTILITY  LIENS"</f>
        <v>SCHEDULE  OF  UTILITY  LIENS</v>
      </c>
      <c r="C33" s="1805"/>
      <c r="D33" s="1805"/>
      <c r="E33" s="1805"/>
      <c r="F33" s="1805"/>
      <c r="G33" s="1805"/>
      <c r="H33" s="1805"/>
      <c r="I33" s="1805"/>
      <c r="J33" s="1805"/>
      <c r="K33" s="1805"/>
      <c r="L33" s="1805"/>
    </row>
    <row r="36" spans="2:12">
      <c r="B36" s="478" t="str">
        <f>"Balance December 31, "&amp;'KEY INPUTS'!D35</f>
        <v>Balance December 31, 2018</v>
      </c>
      <c r="I36" s="287"/>
      <c r="J36" s="287"/>
      <c r="K36" s="287" t="s">
        <v>482</v>
      </c>
      <c r="L36" s="580"/>
    </row>
    <row r="37" spans="2:12">
      <c r="I37" s="287"/>
      <c r="J37" s="287"/>
      <c r="K37" s="287"/>
      <c r="L37" s="287"/>
    </row>
    <row r="38" spans="2:12">
      <c r="I38" s="287"/>
      <c r="J38" s="287"/>
      <c r="K38" s="287"/>
      <c r="L38" s="287"/>
    </row>
    <row r="39" spans="2:12">
      <c r="I39" s="287"/>
      <c r="J39" s="287"/>
      <c r="K39" s="287"/>
      <c r="L39" s="287"/>
    </row>
    <row r="40" spans="2:12">
      <c r="B40" s="331" t="s">
        <v>276</v>
      </c>
      <c r="I40" s="287"/>
      <c r="J40" s="287"/>
      <c r="K40" s="287"/>
      <c r="L40" s="287"/>
    </row>
    <row r="41" spans="2:12" ht="21" customHeight="1">
      <c r="D41" s="331" t="s">
        <v>281</v>
      </c>
      <c r="I41" s="331" t="s">
        <v>482</v>
      </c>
      <c r="J41" s="580"/>
      <c r="K41" s="287"/>
      <c r="L41" s="287"/>
    </row>
    <row r="42" spans="2:12" ht="21" customHeight="1">
      <c r="D42" s="331" t="s">
        <v>282</v>
      </c>
      <c r="I42" s="331" t="s">
        <v>482</v>
      </c>
      <c r="J42" s="580"/>
      <c r="K42" s="287"/>
      <c r="L42" s="287"/>
    </row>
    <row r="43" spans="2:12" ht="21" customHeight="1">
      <c r="D43" s="331" t="s">
        <v>280</v>
      </c>
      <c r="I43" s="331" t="s">
        <v>482</v>
      </c>
      <c r="J43" s="580"/>
      <c r="K43" s="125"/>
      <c r="L43" s="125"/>
    </row>
    <row r="44" spans="2:12">
      <c r="I44" s="287"/>
      <c r="J44" s="287"/>
      <c r="K44" s="287"/>
      <c r="L44" s="287"/>
    </row>
    <row r="45" spans="2:12">
      <c r="I45" s="287"/>
      <c r="J45" s="287"/>
      <c r="K45" s="331" t="s">
        <v>482</v>
      </c>
      <c r="L45" s="67">
        <f>SUM(J41:J43)</f>
        <v>0</v>
      </c>
    </row>
    <row r="46" spans="2:12">
      <c r="I46" s="287"/>
      <c r="J46" s="287"/>
      <c r="K46" s="287"/>
      <c r="L46" s="287"/>
    </row>
    <row r="47" spans="2:12">
      <c r="B47" s="331" t="s">
        <v>277</v>
      </c>
      <c r="I47" s="287"/>
      <c r="J47" s="287"/>
      <c r="K47" s="287"/>
      <c r="L47" s="287"/>
    </row>
    <row r="48" spans="2:12" ht="21" customHeight="1">
      <c r="D48" s="331" t="s">
        <v>278</v>
      </c>
      <c r="I48" s="331" t="s">
        <v>482</v>
      </c>
      <c r="J48" s="580"/>
      <c r="K48" s="287"/>
      <c r="L48" s="287"/>
    </row>
    <row r="49" spans="2:12" ht="21" customHeight="1">
      <c r="D49" s="331" t="s">
        <v>280</v>
      </c>
      <c r="I49" s="331" t="s">
        <v>482</v>
      </c>
      <c r="J49" s="580"/>
      <c r="K49" s="287"/>
      <c r="L49" s="287"/>
    </row>
    <row r="50" spans="2:12">
      <c r="I50" s="287"/>
      <c r="J50" s="287"/>
      <c r="K50" s="287"/>
      <c r="L50" s="287"/>
    </row>
    <row r="51" spans="2:12">
      <c r="I51" s="287"/>
      <c r="J51" s="287"/>
      <c r="K51" s="331" t="s">
        <v>482</v>
      </c>
      <c r="L51" s="67">
        <f>+J49+J48</f>
        <v>0</v>
      </c>
    </row>
    <row r="52" spans="2:12">
      <c r="I52" s="287"/>
      <c r="J52" s="287"/>
      <c r="K52" s="287"/>
      <c r="L52" s="287"/>
    </row>
    <row r="53" spans="2:12">
      <c r="I53" s="287"/>
      <c r="J53" s="287"/>
      <c r="K53" s="287"/>
      <c r="L53" s="287"/>
    </row>
    <row r="54" spans="2:12" ht="13.8" thickBot="1">
      <c r="B54" s="478" t="str">
        <f>"Balance December 31, "&amp;'KEY INPUTS'!D34</f>
        <v>Balance December 31, 2019</v>
      </c>
      <c r="I54" s="287"/>
      <c r="J54" s="287"/>
      <c r="K54" s="331" t="s">
        <v>482</v>
      </c>
      <c r="L54" s="84">
        <f>+L36+L45-L51</f>
        <v>0</v>
      </c>
    </row>
    <row r="55" spans="2:12" ht="13.8" thickTop="1">
      <c r="I55" s="287"/>
      <c r="J55" s="287"/>
      <c r="K55" s="287"/>
      <c r="L55" s="287"/>
    </row>
    <row r="69" spans="2:12" ht="13.8">
      <c r="B69" s="1812" t="s">
        <v>3442</v>
      </c>
      <c r="C69" s="1812"/>
      <c r="D69" s="1812"/>
      <c r="E69" s="1812"/>
      <c r="F69" s="1812"/>
      <c r="G69" s="1812"/>
      <c r="H69" s="1812"/>
      <c r="I69" s="1812"/>
      <c r="J69" s="1812"/>
      <c r="K69" s="1812"/>
      <c r="L69" s="1812"/>
    </row>
  </sheetData>
  <sheetProtection algorithmName="SHA-512" hashValue="IALbzXdq1fX+cU9IBxHVeCnQFJjnrHTsMWqlceqIKQ2VtdO9bLNGF9v+QS52B74gLTIZvCJ+0q5Mur7IVExUww==" saltValue="EPAZgkFLzcYLQiiMTSFa1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
    <mergeCell ref="B3:L3"/>
    <mergeCell ref="B33:L33"/>
    <mergeCell ref="B69:L69"/>
  </mergeCells>
  <pageMargins left="0.25" right="0.25" top="0.5" bottom="0.5" header="0.25" footer="0.25"/>
  <pageSetup paperSize="5" orientation="portrait" r:id="rId5"/>
  <headerFooter alignWithMargins="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4">
    <tabColor theme="6" tint="0.39997558519241921"/>
  </sheetPr>
  <dimension ref="B3:W69"/>
  <sheetViews>
    <sheetView zoomScaleNormal="100" zoomScaleSheetLayoutView="80" workbookViewId="0">
      <selection activeCell="B1" sqref="B1"/>
    </sheetView>
  </sheetViews>
  <sheetFormatPr defaultColWidth="9.109375" defaultRowHeight="13.2"/>
  <cols>
    <col min="1" max="4" width="4.6640625" style="331" customWidth="1"/>
    <col min="5" max="6" width="9.109375" style="331"/>
    <col min="7" max="7" width="1.6640625" style="331" customWidth="1"/>
    <col min="8" max="8" width="14.6640625" style="331" customWidth="1"/>
    <col min="9" max="9" width="1.6640625" style="331" customWidth="1"/>
    <col min="10" max="10" width="14.6640625" style="331" customWidth="1"/>
    <col min="11" max="11" width="1.6640625" style="331" customWidth="1"/>
    <col min="12" max="12" width="14.6640625" style="331" customWidth="1"/>
    <col min="13" max="13" width="1.6640625" style="331" customWidth="1"/>
    <col min="14" max="14" width="14.6640625" style="331" customWidth="1"/>
    <col min="15" max="16384" width="9.109375" style="331"/>
  </cols>
  <sheetData>
    <row r="3" spans="2:23" ht="20.399999999999999">
      <c r="B3" s="1816" t="s">
        <v>1129</v>
      </c>
      <c r="C3" s="1816"/>
      <c r="D3" s="1816"/>
      <c r="E3" s="1816"/>
      <c r="F3" s="1816"/>
      <c r="G3" s="1816"/>
      <c r="H3" s="1816"/>
      <c r="I3" s="1816"/>
      <c r="J3" s="1816"/>
      <c r="K3" s="1816"/>
      <c r="L3" s="1816"/>
      <c r="M3" s="1816"/>
      <c r="N3" s="1816"/>
    </row>
    <row r="4" spans="2:23" ht="15.6">
      <c r="B4" s="1818" t="s">
        <v>540</v>
      </c>
      <c r="C4" s="1818"/>
      <c r="D4" s="1818"/>
      <c r="E4" s="1818"/>
      <c r="F4" s="1818"/>
      <c r="G4" s="1818"/>
      <c r="H4" s="1818"/>
      <c r="I4" s="1818"/>
      <c r="J4" s="1818"/>
      <c r="K4" s="1818"/>
      <c r="L4" s="1818"/>
      <c r="M4" s="1818"/>
      <c r="N4" s="1818"/>
    </row>
    <row r="5" spans="2:23" ht="20.399999999999999">
      <c r="B5" s="1788" t="str">
        <f>UPPER('KEY INPUTS'!D52)&amp;" UTILITY  FUND"</f>
        <v xml:space="preserve"> UTILITY  FUND</v>
      </c>
      <c r="C5" s="1788"/>
      <c r="D5" s="1788"/>
      <c r="E5" s="1788"/>
      <c r="F5" s="1788"/>
      <c r="G5" s="1788"/>
      <c r="H5" s="1788"/>
      <c r="I5" s="1788"/>
      <c r="J5" s="1788"/>
      <c r="K5" s="1788"/>
      <c r="L5" s="1788"/>
      <c r="M5" s="1788"/>
      <c r="N5" s="1788"/>
    </row>
    <row r="6" spans="2:23">
      <c r="B6" s="1819" t="s">
        <v>283</v>
      </c>
      <c r="C6" s="1819"/>
      <c r="D6" s="1819"/>
      <c r="E6" s="1819"/>
      <c r="F6" s="1819"/>
      <c r="G6" s="1819"/>
      <c r="H6" s="1819"/>
      <c r="I6" s="1819"/>
      <c r="J6" s="1819"/>
      <c r="K6" s="1819"/>
      <c r="L6" s="1819"/>
      <c r="M6" s="1819"/>
      <c r="N6" s="1819"/>
    </row>
    <row r="8" spans="2:23">
      <c r="H8" s="408" t="s">
        <v>533</v>
      </c>
    </row>
    <row r="9" spans="2:23">
      <c r="C9" s="1815" t="s">
        <v>553</v>
      </c>
      <c r="D9" s="1815"/>
      <c r="E9" s="1815"/>
      <c r="H9" s="487" t="str">
        <f>'KEY INPUTS'!D45</f>
        <v>Dec. 31, 2018</v>
      </c>
      <c r="J9" s="408" t="s">
        <v>554</v>
      </c>
      <c r="L9" s="408" t="s">
        <v>533</v>
      </c>
      <c r="N9" s="408" t="s">
        <v>671</v>
      </c>
    </row>
    <row r="10" spans="2:23">
      <c r="H10" s="408" t="s">
        <v>552</v>
      </c>
      <c r="J10" s="408">
        <f>'KEY INPUTS'!D34</f>
        <v>2019</v>
      </c>
      <c r="L10" s="408" t="s">
        <v>555</v>
      </c>
      <c r="N10" s="408" t="s">
        <v>556</v>
      </c>
    </row>
    <row r="11" spans="2:23">
      <c r="H11" s="482" t="s">
        <v>551</v>
      </c>
      <c r="J11" s="482" t="s">
        <v>676</v>
      </c>
      <c r="L11" s="482">
        <f>'KEY INPUTS'!D34</f>
        <v>2019</v>
      </c>
      <c r="N11" s="486" t="str">
        <f>'KEY INPUTS'!D46</f>
        <v>Dec. 31, 2019</v>
      </c>
      <c r="Q11" s="322"/>
      <c r="R11" s="322"/>
      <c r="S11" s="322"/>
      <c r="T11" s="322"/>
      <c r="U11" s="322"/>
      <c r="V11" s="322"/>
      <c r="W11" s="322"/>
    </row>
    <row r="12" spans="2:23">
      <c r="B12" s="481" t="s">
        <v>384</v>
      </c>
      <c r="C12" s="331" t="s">
        <v>1130</v>
      </c>
      <c r="Q12" s="322"/>
      <c r="R12" s="322"/>
      <c r="S12" s="322"/>
      <c r="T12" s="322"/>
      <c r="U12" s="322"/>
      <c r="V12" s="322"/>
      <c r="W12" s="322"/>
    </row>
    <row r="13" spans="2:23">
      <c r="B13" s="481"/>
      <c r="D13" s="331" t="s">
        <v>1131</v>
      </c>
      <c r="G13" s="331" t="s">
        <v>482</v>
      </c>
      <c r="H13" s="580"/>
      <c r="I13" s="331" t="s">
        <v>482</v>
      </c>
      <c r="J13" s="580"/>
      <c r="K13" s="331" t="s">
        <v>482</v>
      </c>
      <c r="L13" s="580"/>
      <c r="M13" s="331" t="s">
        <v>482</v>
      </c>
      <c r="N13" s="670">
        <f>+H13-J13+L13</f>
        <v>0</v>
      </c>
      <c r="Q13" s="377"/>
      <c r="R13" s="322"/>
      <c r="S13" s="322"/>
      <c r="T13" s="322"/>
      <c r="U13" s="322"/>
      <c r="V13" s="322"/>
      <c r="W13" s="322"/>
    </row>
    <row r="14" spans="2:23">
      <c r="B14" s="481"/>
      <c r="H14" s="287"/>
      <c r="J14" s="287"/>
      <c r="L14" s="287"/>
      <c r="Q14" s="322"/>
      <c r="R14" s="322"/>
      <c r="S14" s="322"/>
      <c r="T14" s="322"/>
      <c r="U14" s="322"/>
      <c r="V14" s="322"/>
      <c r="W14" s="322"/>
    </row>
    <row r="15" spans="2:23" ht="21" customHeight="1">
      <c r="B15" s="481" t="s">
        <v>385</v>
      </c>
      <c r="C15" s="669" t="s">
        <v>3406</v>
      </c>
      <c r="D15" s="668"/>
      <c r="E15" s="668"/>
      <c r="F15" s="668"/>
      <c r="G15" s="331" t="s">
        <v>482</v>
      </c>
      <c r="H15" s="580"/>
      <c r="I15" s="331" t="s">
        <v>482</v>
      </c>
      <c r="J15" s="580"/>
      <c r="K15" s="331" t="s">
        <v>482</v>
      </c>
      <c r="L15" s="580"/>
      <c r="M15" s="331" t="s">
        <v>482</v>
      </c>
      <c r="N15" s="1224">
        <f>+H15-J15+L15</f>
        <v>0</v>
      </c>
      <c r="Q15" s="322"/>
      <c r="R15" s="322"/>
      <c r="S15" s="322"/>
      <c r="T15" s="322"/>
      <c r="U15" s="322"/>
      <c r="V15" s="322"/>
      <c r="W15" s="322"/>
    </row>
    <row r="16" spans="2:23" ht="21" customHeight="1">
      <c r="B16" s="481" t="s">
        <v>386</v>
      </c>
      <c r="C16" s="668"/>
      <c r="D16" s="668"/>
      <c r="E16" s="668"/>
      <c r="F16" s="668"/>
      <c r="G16" s="331" t="s">
        <v>482</v>
      </c>
      <c r="H16" s="580"/>
      <c r="I16" s="331" t="s">
        <v>482</v>
      </c>
      <c r="J16" s="580"/>
      <c r="K16" s="331" t="s">
        <v>482</v>
      </c>
      <c r="L16" s="580"/>
      <c r="M16" s="331" t="s">
        <v>482</v>
      </c>
      <c r="N16" s="1224">
        <f>+H16-J16+L16</f>
        <v>0</v>
      </c>
      <c r="Q16" s="322"/>
      <c r="R16" s="322"/>
      <c r="S16" s="322"/>
      <c r="T16" s="322"/>
      <c r="U16" s="322"/>
      <c r="V16" s="322"/>
      <c r="W16" s="322"/>
    </row>
    <row r="17" spans="2:23" ht="21" customHeight="1">
      <c r="B17" s="481" t="s">
        <v>387</v>
      </c>
      <c r="C17" s="668"/>
      <c r="D17" s="668"/>
      <c r="E17" s="668"/>
      <c r="F17" s="668"/>
      <c r="G17" s="331" t="s">
        <v>482</v>
      </c>
      <c r="H17" s="580"/>
      <c r="I17" s="331" t="s">
        <v>482</v>
      </c>
      <c r="J17" s="580"/>
      <c r="K17" s="331" t="s">
        <v>482</v>
      </c>
      <c r="L17" s="580"/>
      <c r="M17" s="331" t="s">
        <v>482</v>
      </c>
      <c r="N17" s="1224">
        <f t="shared" ref="N17:N23" si="0">+H17-J17+L17</f>
        <v>0</v>
      </c>
      <c r="Q17" s="322"/>
      <c r="R17" s="322"/>
      <c r="S17" s="322"/>
      <c r="T17" s="322"/>
      <c r="U17" s="322"/>
      <c r="V17" s="322"/>
      <c r="W17" s="322"/>
    </row>
    <row r="18" spans="2:23" ht="21" customHeight="1">
      <c r="B18" s="481" t="s">
        <v>388</v>
      </c>
      <c r="C18" s="668"/>
      <c r="D18" s="668"/>
      <c r="E18" s="668"/>
      <c r="F18" s="668"/>
      <c r="G18" s="331" t="s">
        <v>482</v>
      </c>
      <c r="H18" s="580"/>
      <c r="I18" s="331" t="s">
        <v>482</v>
      </c>
      <c r="J18" s="580"/>
      <c r="K18" s="331" t="s">
        <v>482</v>
      </c>
      <c r="L18" s="580"/>
      <c r="M18" s="331" t="s">
        <v>482</v>
      </c>
      <c r="N18" s="1224">
        <f t="shared" si="0"/>
        <v>0</v>
      </c>
      <c r="Q18" s="322"/>
      <c r="R18" s="322"/>
      <c r="S18" s="322"/>
      <c r="T18" s="322"/>
      <c r="U18" s="322"/>
      <c r="V18" s="322"/>
      <c r="W18" s="322"/>
    </row>
    <row r="19" spans="2:23" ht="21" customHeight="1">
      <c r="B19" s="481"/>
      <c r="C19" s="1226" t="s">
        <v>3488</v>
      </c>
      <c r="D19" s="1226"/>
      <c r="E19" s="1226"/>
      <c r="F19" s="1226"/>
      <c r="G19" s="740" t="s">
        <v>482</v>
      </c>
      <c r="H19" s="580"/>
      <c r="I19" s="740" t="s">
        <v>482</v>
      </c>
      <c r="J19" s="580"/>
      <c r="K19" s="740" t="s">
        <v>482</v>
      </c>
      <c r="L19" s="580"/>
      <c r="M19" s="331" t="s">
        <v>482</v>
      </c>
      <c r="N19" s="1224">
        <f t="shared" si="0"/>
        <v>0</v>
      </c>
      <c r="Q19" s="322"/>
      <c r="R19" s="322"/>
      <c r="S19" s="322"/>
      <c r="T19" s="322"/>
      <c r="U19" s="322"/>
      <c r="V19" s="322"/>
      <c r="W19" s="322"/>
    </row>
    <row r="20" spans="2:23" ht="21" customHeight="1">
      <c r="B20" s="481"/>
      <c r="C20" s="1227" t="s">
        <v>3489</v>
      </c>
      <c r="D20" s="1128"/>
      <c r="E20" s="1226"/>
      <c r="F20" s="1226"/>
      <c r="G20" s="740" t="s">
        <v>482</v>
      </c>
      <c r="H20" s="1225">
        <f>H13+H15+H16+H17+H18+H19</f>
        <v>0</v>
      </c>
      <c r="I20" s="740" t="s">
        <v>482</v>
      </c>
      <c r="J20" s="1225">
        <f>J13+J15+J16+J17+J18+J19</f>
        <v>0</v>
      </c>
      <c r="K20" s="740" t="s">
        <v>482</v>
      </c>
      <c r="L20" s="1225">
        <f>L13+L15+L16+L17+L18+L19</f>
        <v>0</v>
      </c>
      <c r="M20" s="331" t="s">
        <v>482</v>
      </c>
      <c r="N20" s="1225">
        <f>N13+N15+N16+N17+N18+N19</f>
        <v>0</v>
      </c>
      <c r="Q20" s="322"/>
      <c r="R20" s="322"/>
      <c r="S20" s="322"/>
      <c r="T20" s="322"/>
      <c r="U20" s="322"/>
      <c r="V20" s="322"/>
      <c r="W20" s="322"/>
    </row>
    <row r="21" spans="2:23" ht="21" customHeight="1">
      <c r="B21" s="481" t="s">
        <v>389</v>
      </c>
      <c r="C21" s="668"/>
      <c r="D21" s="668"/>
      <c r="E21" s="668"/>
      <c r="F21" s="668"/>
      <c r="G21" s="331" t="s">
        <v>482</v>
      </c>
      <c r="H21" s="580"/>
      <c r="I21" s="331" t="s">
        <v>482</v>
      </c>
      <c r="J21" s="580"/>
      <c r="K21" s="331" t="s">
        <v>482</v>
      </c>
      <c r="L21" s="580"/>
      <c r="M21" s="331" t="s">
        <v>482</v>
      </c>
      <c r="N21" s="1224">
        <f t="shared" si="0"/>
        <v>0</v>
      </c>
      <c r="Q21" s="322"/>
      <c r="R21" s="322"/>
      <c r="S21" s="322"/>
      <c r="T21" s="322"/>
      <c r="U21" s="322"/>
      <c r="V21" s="322"/>
      <c r="W21" s="322"/>
    </row>
    <row r="22" spans="2:23" ht="21" customHeight="1">
      <c r="B22" s="481" t="s">
        <v>390</v>
      </c>
      <c r="C22" s="668"/>
      <c r="D22" s="668"/>
      <c r="E22" s="668"/>
      <c r="F22" s="668"/>
      <c r="G22" s="331" t="s">
        <v>482</v>
      </c>
      <c r="H22" s="580"/>
      <c r="I22" s="331" t="s">
        <v>482</v>
      </c>
      <c r="J22" s="580"/>
      <c r="K22" s="331" t="s">
        <v>482</v>
      </c>
      <c r="L22" s="580"/>
      <c r="M22" s="331" t="s">
        <v>482</v>
      </c>
      <c r="N22" s="1224">
        <f t="shared" si="0"/>
        <v>0</v>
      </c>
      <c r="Q22" s="322"/>
      <c r="R22" s="322"/>
      <c r="S22" s="322"/>
      <c r="T22" s="322"/>
      <c r="U22" s="322"/>
      <c r="V22" s="322"/>
      <c r="W22" s="322"/>
    </row>
    <row r="23" spans="2:23" ht="21" customHeight="1">
      <c r="B23" s="481"/>
      <c r="C23" s="1348" t="s">
        <v>3781</v>
      </c>
      <c r="D23" s="1226"/>
      <c r="E23" s="1226"/>
      <c r="F23" s="1226"/>
      <c r="G23" s="740" t="s">
        <v>482</v>
      </c>
      <c r="H23" s="1225">
        <f>H21+H22</f>
        <v>0</v>
      </c>
      <c r="I23" s="740" t="s">
        <v>482</v>
      </c>
      <c r="J23" s="1225">
        <f>J21+J22</f>
        <v>0</v>
      </c>
      <c r="K23" s="740" t="s">
        <v>482</v>
      </c>
      <c r="L23" s="1225">
        <f>L21+L22</f>
        <v>0</v>
      </c>
      <c r="M23" s="331" t="s">
        <v>482</v>
      </c>
      <c r="N23" s="1224">
        <f t="shared" si="0"/>
        <v>0</v>
      </c>
      <c r="Q23" s="322"/>
      <c r="R23" s="322"/>
      <c r="S23" s="322"/>
      <c r="T23" s="322"/>
      <c r="U23" s="322"/>
      <c r="V23" s="322"/>
      <c r="W23" s="322"/>
    </row>
    <row r="24" spans="2:23">
      <c r="B24" s="481"/>
      <c r="Q24" s="322"/>
      <c r="R24" s="322"/>
      <c r="S24" s="322"/>
      <c r="T24" s="322"/>
      <c r="U24" s="322"/>
      <c r="V24" s="322"/>
      <c r="W24" s="322"/>
    </row>
    <row r="25" spans="2:23">
      <c r="B25" s="481"/>
      <c r="C25" s="331" t="s">
        <v>1133</v>
      </c>
      <c r="Q25" s="322"/>
      <c r="R25" s="322"/>
      <c r="S25" s="322"/>
      <c r="T25" s="322"/>
      <c r="U25" s="322"/>
      <c r="V25" s="322"/>
      <c r="W25" s="322"/>
    </row>
    <row r="26" spans="2:23">
      <c r="B26" s="481"/>
      <c r="Q26" s="322"/>
      <c r="R26" s="322"/>
      <c r="S26" s="322"/>
      <c r="T26" s="322"/>
      <c r="U26" s="322"/>
      <c r="V26" s="322"/>
      <c r="W26" s="322"/>
    </row>
    <row r="27" spans="2:23">
      <c r="B27" s="481"/>
      <c r="Q27" s="322"/>
      <c r="R27" s="322"/>
      <c r="S27" s="322"/>
      <c r="T27" s="322"/>
      <c r="U27" s="322"/>
      <c r="V27" s="322"/>
      <c r="W27" s="322"/>
    </row>
    <row r="28" spans="2:23" ht="15.6">
      <c r="B28" s="1814" t="s">
        <v>530</v>
      </c>
      <c r="C28" s="1814"/>
      <c r="D28" s="1814"/>
      <c r="E28" s="1814"/>
      <c r="F28" s="1814"/>
      <c r="G28" s="1814"/>
      <c r="H28" s="1814"/>
      <c r="I28" s="1814"/>
      <c r="J28" s="1814"/>
      <c r="K28" s="1814"/>
      <c r="L28" s="1814"/>
      <c r="M28" s="1814"/>
      <c r="N28" s="1814"/>
    </row>
    <row r="29" spans="2:23" ht="15.6">
      <c r="B29" s="1814" t="s">
        <v>531</v>
      </c>
      <c r="C29" s="1814"/>
      <c r="D29" s="1814"/>
      <c r="E29" s="1814"/>
      <c r="F29" s="1814"/>
      <c r="G29" s="1814"/>
      <c r="H29" s="1814"/>
      <c r="I29" s="1814"/>
      <c r="J29" s="1814"/>
      <c r="K29" s="1814"/>
      <c r="L29" s="1814"/>
      <c r="M29" s="1814"/>
      <c r="N29" s="1814"/>
    </row>
    <row r="30" spans="2:23" ht="6.75" customHeight="1">
      <c r="B30" s="485"/>
      <c r="C30" s="485"/>
      <c r="D30" s="485"/>
      <c r="E30" s="485"/>
      <c r="F30" s="485"/>
      <c r="G30" s="485"/>
      <c r="H30" s="485"/>
      <c r="I30" s="485"/>
      <c r="J30" s="485"/>
      <c r="K30" s="485"/>
      <c r="L30" s="485"/>
      <c r="M30" s="485"/>
      <c r="N30" s="485"/>
    </row>
    <row r="31" spans="2:23" ht="18" customHeight="1">
      <c r="B31" s="481"/>
      <c r="D31" s="1817" t="s">
        <v>18</v>
      </c>
      <c r="E31" s="1817"/>
      <c r="F31" s="484"/>
      <c r="G31" s="1817" t="s">
        <v>532</v>
      </c>
      <c r="H31" s="1817"/>
      <c r="I31" s="1817"/>
      <c r="J31" s="1817"/>
      <c r="K31" s="1817"/>
      <c r="L31" s="1817"/>
      <c r="M31" s="484"/>
      <c r="N31" s="483" t="s">
        <v>533</v>
      </c>
    </row>
    <row r="32" spans="2:23" ht="21" customHeight="1">
      <c r="B32" s="481"/>
      <c r="C32" s="481" t="s">
        <v>384</v>
      </c>
      <c r="D32" s="668"/>
      <c r="E32" s="668"/>
      <c r="G32" s="668"/>
      <c r="H32" s="668"/>
      <c r="I32" s="668"/>
      <c r="J32" s="668"/>
      <c r="K32" s="668"/>
      <c r="L32" s="668"/>
      <c r="M32" s="331" t="s">
        <v>482</v>
      </c>
      <c r="N32" s="376"/>
    </row>
    <row r="33" spans="2:14" ht="21" customHeight="1">
      <c r="B33" s="481"/>
      <c r="C33" s="481" t="s">
        <v>385</v>
      </c>
      <c r="D33" s="668"/>
      <c r="E33" s="668"/>
      <c r="G33" s="668"/>
      <c r="H33" s="668"/>
      <c r="I33" s="668"/>
      <c r="J33" s="668"/>
      <c r="K33" s="668"/>
      <c r="L33" s="668"/>
      <c r="M33" s="331" t="s">
        <v>482</v>
      </c>
      <c r="N33" s="376"/>
    </row>
    <row r="34" spans="2:14" ht="21" customHeight="1">
      <c r="B34" s="481"/>
      <c r="C34" s="481" t="s">
        <v>386</v>
      </c>
      <c r="D34" s="668"/>
      <c r="E34" s="668"/>
      <c r="G34" s="668"/>
      <c r="H34" s="668"/>
      <c r="I34" s="668"/>
      <c r="J34" s="668"/>
      <c r="K34" s="668"/>
      <c r="L34" s="668"/>
      <c r="M34" s="331" t="s">
        <v>482</v>
      </c>
      <c r="N34" s="376"/>
    </row>
    <row r="35" spans="2:14" ht="21" customHeight="1">
      <c r="B35" s="481"/>
      <c r="C35" s="481" t="s">
        <v>387</v>
      </c>
      <c r="D35" s="668"/>
      <c r="E35" s="668"/>
      <c r="G35" s="668"/>
      <c r="H35" s="668"/>
      <c r="I35" s="668"/>
      <c r="J35" s="668"/>
      <c r="K35" s="668"/>
      <c r="L35" s="668"/>
      <c r="M35" s="331" t="s">
        <v>482</v>
      </c>
      <c r="N35" s="376"/>
    </row>
    <row r="36" spans="2:14" ht="21" customHeight="1">
      <c r="B36" s="481"/>
      <c r="C36" s="481" t="s">
        <v>388</v>
      </c>
      <c r="D36" s="668"/>
      <c r="E36" s="668"/>
      <c r="G36" s="668"/>
      <c r="H36" s="668"/>
      <c r="I36" s="668"/>
      <c r="J36" s="668"/>
      <c r="K36" s="668"/>
      <c r="L36" s="668"/>
      <c r="M36" s="331" t="s">
        <v>482</v>
      </c>
      <c r="N36" s="376"/>
    </row>
    <row r="37" spans="2:14">
      <c r="B37" s="481"/>
    </row>
    <row r="38" spans="2:14">
      <c r="B38" s="481"/>
    </row>
    <row r="39" spans="2:14">
      <c r="B39" s="481"/>
    </row>
    <row r="40" spans="2:14" ht="15.6">
      <c r="B40" s="1814" t="s">
        <v>322</v>
      </c>
      <c r="C40" s="1814"/>
      <c r="D40" s="1814"/>
      <c r="E40" s="1814"/>
      <c r="F40" s="1814"/>
      <c r="G40" s="1814"/>
      <c r="H40" s="1814"/>
      <c r="I40" s="1814"/>
      <c r="J40" s="1814"/>
      <c r="K40" s="1814"/>
      <c r="L40" s="1814"/>
      <c r="M40" s="1814"/>
      <c r="N40" s="1814"/>
    </row>
    <row r="41" spans="2:14">
      <c r="B41" s="481"/>
    </row>
    <row r="42" spans="2:14">
      <c r="B42" s="481"/>
      <c r="N42" s="408" t="s">
        <v>538</v>
      </c>
    </row>
    <row r="43" spans="2:14">
      <c r="B43" s="481"/>
      <c r="N43" s="408" t="s">
        <v>539</v>
      </c>
    </row>
    <row r="44" spans="2:14">
      <c r="B44" s="481"/>
      <c r="D44" s="1815" t="s">
        <v>535</v>
      </c>
      <c r="E44" s="1815"/>
      <c r="H44" s="1815" t="s">
        <v>536</v>
      </c>
      <c r="I44" s="1815"/>
      <c r="J44" s="482" t="s">
        <v>537</v>
      </c>
      <c r="L44" s="482" t="s">
        <v>533</v>
      </c>
      <c r="N44" s="482" t="str">
        <f>"Year "&amp;TEXT('KEY INPUTS'!D34,"0")&amp;""</f>
        <v>Year 2019</v>
      </c>
    </row>
    <row r="45" spans="2:14">
      <c r="B45" s="481"/>
      <c r="D45" s="667"/>
      <c r="E45" s="667"/>
      <c r="F45" s="667"/>
      <c r="G45" s="667"/>
      <c r="H45" s="667"/>
      <c r="I45" s="667"/>
      <c r="J45" s="667"/>
    </row>
    <row r="46" spans="2:14" ht="21" customHeight="1">
      <c r="B46" s="481"/>
      <c r="C46" s="481" t="s">
        <v>384</v>
      </c>
      <c r="D46" s="668"/>
      <c r="E46" s="668"/>
      <c r="F46" s="668"/>
      <c r="G46" s="668"/>
      <c r="H46" s="668"/>
      <c r="I46" s="668"/>
      <c r="J46" s="668"/>
      <c r="K46" s="331" t="s">
        <v>482</v>
      </c>
      <c r="L46" s="376"/>
      <c r="M46" s="667"/>
      <c r="N46" s="376"/>
    </row>
    <row r="47" spans="2:14" ht="21" customHeight="1">
      <c r="B47" s="481"/>
      <c r="C47" s="481" t="s">
        <v>385</v>
      </c>
      <c r="D47" s="668"/>
      <c r="E47" s="668"/>
      <c r="F47" s="668"/>
      <c r="G47" s="668"/>
      <c r="H47" s="668"/>
      <c r="I47" s="668"/>
      <c r="J47" s="668"/>
      <c r="K47" s="331" t="s">
        <v>482</v>
      </c>
      <c r="L47" s="376"/>
      <c r="M47" s="667"/>
      <c r="N47" s="376"/>
    </row>
    <row r="48" spans="2:14" ht="21" customHeight="1">
      <c r="B48" s="481"/>
      <c r="C48" s="481" t="s">
        <v>386</v>
      </c>
      <c r="D48" s="668"/>
      <c r="E48" s="668"/>
      <c r="F48" s="668"/>
      <c r="G48" s="668"/>
      <c r="H48" s="668"/>
      <c r="I48" s="668"/>
      <c r="J48" s="668"/>
      <c r="K48" s="331" t="s">
        <v>482</v>
      </c>
      <c r="L48" s="376"/>
      <c r="M48" s="667"/>
      <c r="N48" s="376"/>
    </row>
    <row r="49" spans="2:14" ht="21" customHeight="1">
      <c r="B49" s="481"/>
      <c r="C49" s="481" t="s">
        <v>387</v>
      </c>
      <c r="D49" s="668"/>
      <c r="E49" s="668"/>
      <c r="F49" s="668"/>
      <c r="G49" s="668"/>
      <c r="H49" s="668"/>
      <c r="I49" s="668"/>
      <c r="J49" s="668"/>
      <c r="K49" s="331" t="s">
        <v>482</v>
      </c>
      <c r="L49" s="376"/>
      <c r="M49" s="667"/>
      <c r="N49" s="376"/>
    </row>
    <row r="50" spans="2:14">
      <c r="B50" s="481"/>
    </row>
    <row r="51" spans="2:14">
      <c r="B51" s="481"/>
    </row>
    <row r="52" spans="2:14">
      <c r="B52" s="481"/>
    </row>
    <row r="53" spans="2:14">
      <c r="B53" s="481"/>
    </row>
    <row r="54" spans="2:14">
      <c r="B54" s="481"/>
    </row>
    <row r="55" spans="2:14">
      <c r="B55" s="481"/>
    </row>
    <row r="56" spans="2:14">
      <c r="B56" s="481"/>
    </row>
    <row r="57" spans="2:14">
      <c r="B57" s="481"/>
    </row>
    <row r="58" spans="2:14">
      <c r="B58" s="481"/>
    </row>
    <row r="59" spans="2:14">
      <c r="B59" s="481"/>
    </row>
    <row r="60" spans="2:14">
      <c r="B60" s="481"/>
    </row>
    <row r="61" spans="2:14" ht="13.8">
      <c r="B61" s="1813" t="s">
        <v>3443</v>
      </c>
      <c r="C61" s="1813"/>
      <c r="D61" s="1813"/>
      <c r="E61" s="1813"/>
      <c r="F61" s="1813"/>
      <c r="G61" s="1813"/>
      <c r="H61" s="1813"/>
      <c r="I61" s="1813"/>
      <c r="J61" s="1813"/>
      <c r="K61" s="1813"/>
      <c r="L61" s="1813"/>
      <c r="M61" s="1813"/>
      <c r="N61" s="1813"/>
    </row>
    <row r="62" spans="2:14">
      <c r="B62" s="481"/>
    </row>
    <row r="63" spans="2:14">
      <c r="B63" s="481"/>
    </row>
    <row r="64" spans="2:14">
      <c r="B64" s="481"/>
    </row>
    <row r="65" spans="2:2">
      <c r="B65" s="481"/>
    </row>
    <row r="66" spans="2:2">
      <c r="B66" s="481"/>
    </row>
    <row r="67" spans="2:2">
      <c r="B67" s="481"/>
    </row>
    <row r="68" spans="2:2">
      <c r="B68" s="481"/>
    </row>
    <row r="69" spans="2:2">
      <c r="B69" s="481"/>
    </row>
  </sheetData>
  <sheetProtection algorithmName="SHA-512" hashValue="ftHl5Lx9YKwSYDSO8STggsNc9bRtFcvE8CRF1quPCUF0b8+SOe3NBSZlCPmOqLMicFYvjh9KxpzuHn28Ao3cvg==" saltValue="6zAxnZdor5GXPC+ysLDs+g=="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13">
    <mergeCell ref="B61:N61"/>
    <mergeCell ref="B40:N40"/>
    <mergeCell ref="D44:E44"/>
    <mergeCell ref="H44:I44"/>
    <mergeCell ref="B3:N3"/>
    <mergeCell ref="B28:N28"/>
    <mergeCell ref="B29:N29"/>
    <mergeCell ref="D31:E31"/>
    <mergeCell ref="G31:L31"/>
    <mergeCell ref="B4:N4"/>
    <mergeCell ref="B5:N5"/>
    <mergeCell ref="B6:N6"/>
    <mergeCell ref="C9:E9"/>
  </mergeCells>
  <pageMargins left="0.25" right="0.25" top="0.5" bottom="0.5" header="0.25" footer="0.25"/>
  <pageSetup paperSize="5" orientation="portrait" r:id="rId5"/>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5">
    <tabColor theme="6" tint="0.39997558519241921"/>
  </sheetPr>
  <dimension ref="B2:U50"/>
  <sheetViews>
    <sheetView zoomScaleNormal="100" zoomScaleSheetLayoutView="80" workbookViewId="0">
      <selection activeCell="B1" sqref="B1"/>
    </sheetView>
  </sheetViews>
  <sheetFormatPr defaultColWidth="8.88671875" defaultRowHeight="13.2"/>
  <cols>
    <col min="1" max="4" width="4.6640625" style="398" customWidth="1"/>
    <col min="5" max="5" width="17.88671875" style="398" customWidth="1"/>
    <col min="6" max="6" width="8.88671875" style="398"/>
    <col min="7" max="7" width="16.6640625" style="398" customWidth="1"/>
    <col min="8" max="8" width="1.6640625" style="398" customWidth="1"/>
    <col min="9" max="9" width="15.6640625" style="398" customWidth="1"/>
    <col min="10" max="10" width="1.6640625" style="398" customWidth="1"/>
    <col min="11" max="11" width="8.6640625" style="398" customWidth="1"/>
    <col min="12" max="12" width="7.6640625" style="398" customWidth="1"/>
    <col min="13" max="15" width="8.88671875" style="398"/>
    <col min="16" max="17" width="10.33203125" style="398" bestFit="1" customWidth="1"/>
    <col min="18" max="16384" width="8.88671875" style="398"/>
  </cols>
  <sheetData>
    <row r="2" spans="2:21" ht="20.399999999999999">
      <c r="B2" s="1788" t="s">
        <v>160</v>
      </c>
      <c r="C2" s="1788"/>
      <c r="D2" s="1788"/>
      <c r="E2" s="1788"/>
      <c r="F2" s="1788"/>
      <c r="G2" s="1788"/>
      <c r="H2" s="1788"/>
      <c r="I2" s="1788"/>
      <c r="J2" s="1788"/>
      <c r="K2" s="1788"/>
      <c r="L2" s="1788"/>
    </row>
    <row r="3" spans="2:21" ht="20.399999999999999">
      <c r="B3" s="1788" t="str">
        <f>"AND  "&amp;TEXT('KEY INPUTS'!D34+1,"0")&amp;"  DEBT  SERVICE  FOR  BONDS"</f>
        <v>AND  2020  DEBT  SERVICE  FOR  BONDS</v>
      </c>
      <c r="C3" s="1788"/>
      <c r="D3" s="1788"/>
      <c r="E3" s="1788"/>
      <c r="F3" s="1788"/>
      <c r="G3" s="1788"/>
      <c r="H3" s="1788"/>
      <c r="I3" s="1788"/>
      <c r="J3" s="1788"/>
      <c r="K3" s="1788"/>
      <c r="L3" s="1788"/>
    </row>
    <row r="4" spans="2:21" ht="15.6">
      <c r="B4" s="1761" t="str">
        <f>UPPER('KEY INPUTS'!D52)&amp;" UTILITY  ASSESSMENT  BONDS"</f>
        <v xml:space="preserve"> UTILITY  ASSESSMENT  BONDS</v>
      </c>
      <c r="C4" s="1761"/>
      <c r="D4" s="1761"/>
      <c r="E4" s="1761"/>
      <c r="F4" s="1761"/>
      <c r="G4" s="1761"/>
      <c r="H4" s="1761"/>
      <c r="I4" s="1761"/>
      <c r="J4" s="1761"/>
      <c r="K4" s="1761"/>
      <c r="L4" s="1761"/>
    </row>
    <row r="5" spans="2:21" ht="9.75" customHeight="1" thickBot="1">
      <c r="B5" s="503"/>
      <c r="C5" s="503"/>
      <c r="D5" s="503"/>
      <c r="E5" s="503"/>
      <c r="F5" s="503"/>
      <c r="G5" s="503"/>
      <c r="H5" s="503"/>
      <c r="I5" s="503"/>
      <c r="J5" s="503"/>
      <c r="K5" s="503"/>
      <c r="L5" s="503"/>
    </row>
    <row r="6" spans="2:21" ht="27.75" customHeight="1" thickTop="1" thickBot="1">
      <c r="B6" s="475"/>
      <c r="C6" s="475"/>
      <c r="D6" s="475"/>
      <c r="E6" s="475"/>
      <c r="F6" s="475"/>
      <c r="G6" s="403" t="s">
        <v>125</v>
      </c>
      <c r="H6" s="1836" t="s">
        <v>126</v>
      </c>
      <c r="I6" s="1777"/>
      <c r="J6" s="1834" t="str">
        <f>'KEY INPUTS'!D34&amp;" Debt
Service"</f>
        <v>2019 Debt
Service</v>
      </c>
      <c r="K6" s="1835"/>
      <c r="L6" s="1835"/>
      <c r="O6" s="322"/>
      <c r="P6" s="322"/>
      <c r="Q6" s="322"/>
      <c r="R6" s="322"/>
      <c r="S6" s="322"/>
      <c r="T6" s="322"/>
      <c r="U6" s="322"/>
    </row>
    <row r="7" spans="2:21" ht="21" customHeight="1" thickTop="1">
      <c r="B7" s="474" t="str">
        <f>'KEY INPUTS'!D27</f>
        <v>Outstanding - January 1, 2019</v>
      </c>
      <c r="C7" s="457"/>
      <c r="D7" s="457"/>
      <c r="E7" s="457"/>
      <c r="F7" s="457"/>
      <c r="G7" s="1171" t="s">
        <v>787</v>
      </c>
      <c r="H7" s="1705"/>
      <c r="I7" s="1706"/>
      <c r="O7" s="322"/>
      <c r="P7" s="322"/>
      <c r="Q7" s="322"/>
      <c r="R7" s="322"/>
      <c r="S7" s="322"/>
      <c r="T7" s="322"/>
      <c r="U7" s="322"/>
    </row>
    <row r="8" spans="2:21" ht="21" customHeight="1">
      <c r="B8" s="402" t="s">
        <v>113</v>
      </c>
      <c r="C8" s="402"/>
      <c r="D8" s="402"/>
      <c r="E8" s="402"/>
      <c r="F8" s="402"/>
      <c r="G8" s="1174" t="s">
        <v>787</v>
      </c>
      <c r="H8" s="1679"/>
      <c r="I8" s="1680"/>
      <c r="O8" s="377"/>
      <c r="P8" s="322"/>
      <c r="Q8" s="322"/>
      <c r="R8" s="322"/>
      <c r="S8" s="322"/>
      <c r="T8" s="322"/>
      <c r="U8" s="322"/>
    </row>
    <row r="9" spans="2:21" ht="21" customHeight="1">
      <c r="B9" s="402"/>
      <c r="C9" s="402"/>
      <c r="D9" s="402"/>
      <c r="E9" s="402"/>
      <c r="F9" s="402"/>
      <c r="G9" s="1174"/>
      <c r="H9" s="502"/>
      <c r="I9" s="1228"/>
      <c r="O9" s="322"/>
      <c r="P9" s="322"/>
      <c r="Q9" s="322"/>
      <c r="R9" s="322"/>
      <c r="S9" s="322"/>
      <c r="T9" s="322"/>
      <c r="U9" s="322"/>
    </row>
    <row r="10" spans="2:21" ht="21" customHeight="1">
      <c r="B10" s="402" t="s">
        <v>326</v>
      </c>
      <c r="C10" s="402"/>
      <c r="D10" s="402"/>
      <c r="E10" s="402"/>
      <c r="F10" s="402"/>
      <c r="G10" s="601"/>
      <c r="H10" s="1830" t="s">
        <v>787</v>
      </c>
      <c r="I10" s="1831"/>
      <c r="O10" s="322"/>
      <c r="P10" s="322"/>
      <c r="Q10" s="322"/>
      <c r="R10" s="322"/>
      <c r="S10" s="322"/>
      <c r="T10" s="322"/>
      <c r="U10" s="322"/>
    </row>
    <row r="11" spans="2:21" ht="21" customHeight="1" thickBot="1">
      <c r="B11" s="402" t="str">
        <f>'KEY INPUTS'!D28</f>
        <v>Outstanding - December 31, 2019</v>
      </c>
      <c r="C11" s="402"/>
      <c r="D11" s="402"/>
      <c r="E11" s="402"/>
      <c r="F11" s="402"/>
      <c r="G11" s="1129">
        <f>+H7+H8-G10</f>
        <v>0</v>
      </c>
      <c r="H11" s="1832" t="s">
        <v>787</v>
      </c>
      <c r="I11" s="1833"/>
      <c r="O11" s="322"/>
      <c r="P11" s="322"/>
      <c r="Q11" s="322"/>
      <c r="R11" s="322"/>
      <c r="S11" s="322"/>
      <c r="T11" s="322"/>
      <c r="U11" s="322"/>
    </row>
    <row r="12" spans="2:21" ht="21" customHeight="1" thickBot="1">
      <c r="G12" s="1131">
        <f>SUM(G7:G11)</f>
        <v>0</v>
      </c>
      <c r="H12" s="1837">
        <f>SUM(H7:I11)</f>
        <v>0</v>
      </c>
      <c r="I12" s="1838"/>
      <c r="O12" s="322"/>
      <c r="P12" s="322"/>
      <c r="Q12" s="322"/>
      <c r="R12" s="322"/>
      <c r="S12" s="322"/>
      <c r="T12" s="322"/>
      <c r="U12" s="322"/>
    </row>
    <row r="13" spans="2:21" ht="21" customHeight="1" thickTop="1">
      <c r="B13" s="501" t="str">
        <f>TEXT('KEY INPUTS'!D34+1,"0")&amp;" Bond Maturities - Assessment Bonds"</f>
        <v>2020 Bond Maturities - Assessment Bonds</v>
      </c>
      <c r="C13" s="451"/>
      <c r="D13" s="451"/>
      <c r="E13" s="451"/>
      <c r="F13" s="451"/>
      <c r="G13" s="451"/>
      <c r="H13" s="451"/>
      <c r="I13" s="500"/>
      <c r="J13" s="451" t="s">
        <v>482</v>
      </c>
      <c r="K13" s="1714"/>
      <c r="L13" s="1714"/>
      <c r="O13" s="322"/>
      <c r="P13" s="322"/>
      <c r="Q13" s="322"/>
      <c r="R13" s="322"/>
      <c r="S13" s="322"/>
      <c r="T13" s="322"/>
      <c r="U13" s="322"/>
    </row>
    <row r="14" spans="2:21" ht="21" customHeight="1" thickBot="1">
      <c r="B14" s="498" t="str">
        <f>TEXT('KEY INPUTS'!D34+1,"0")&amp;" Interest on Bonds"</f>
        <v>2020 Interest on Bonds</v>
      </c>
      <c r="C14" s="488"/>
      <c r="D14" s="488"/>
      <c r="E14" s="488"/>
      <c r="F14" s="488"/>
      <c r="G14" s="499"/>
      <c r="H14" s="488" t="s">
        <v>482</v>
      </c>
      <c r="I14" s="608"/>
      <c r="O14" s="322"/>
      <c r="P14" s="322"/>
      <c r="Q14" s="322"/>
      <c r="R14" s="322"/>
      <c r="S14" s="322"/>
      <c r="T14" s="322"/>
      <c r="U14" s="322"/>
    </row>
    <row r="15" spans="2:21" ht="16.5" customHeight="1" thickTop="1">
      <c r="B15" s="1843"/>
      <c r="C15" s="1843"/>
      <c r="D15" s="1843"/>
      <c r="E15" s="1843"/>
      <c r="F15" s="1843"/>
      <c r="G15" s="1843"/>
      <c r="H15" s="1843"/>
      <c r="I15" s="1844"/>
      <c r="O15" s="322"/>
      <c r="P15" s="322"/>
      <c r="Q15" s="322"/>
      <c r="R15" s="322"/>
      <c r="S15" s="322"/>
      <c r="T15" s="322"/>
      <c r="U15" s="322"/>
    </row>
    <row r="16" spans="2:21" ht="26.25" customHeight="1" thickBot="1">
      <c r="B16" s="1822" t="str">
        <f>UPPER('KEY INPUTS'!D52) &amp;" UTILITY  CAPITAL  BONDS"</f>
        <v xml:space="preserve"> UTILITY  CAPITAL  BONDS</v>
      </c>
      <c r="C16" s="1822"/>
      <c r="D16" s="1822"/>
      <c r="E16" s="1822"/>
      <c r="F16" s="1822"/>
      <c r="G16" s="1822"/>
      <c r="H16" s="1822"/>
      <c r="I16" s="1823"/>
      <c r="O16" s="322"/>
      <c r="P16" s="322"/>
      <c r="Q16" s="322"/>
      <c r="R16" s="322"/>
      <c r="S16" s="322"/>
      <c r="T16" s="322"/>
      <c r="U16" s="322"/>
    </row>
    <row r="17" spans="2:21" ht="21" customHeight="1" thickTop="1">
      <c r="B17" s="474" t="str">
        <f>'KEY INPUTS'!D27</f>
        <v>Outstanding - January 1, 2019</v>
      </c>
      <c r="C17" s="457"/>
      <c r="D17" s="457"/>
      <c r="E17" s="457"/>
      <c r="F17" s="457"/>
      <c r="G17" s="1171" t="s">
        <v>787</v>
      </c>
      <c r="H17" s="1705"/>
      <c r="I17" s="1706"/>
      <c r="O17" s="322"/>
      <c r="P17" s="322"/>
      <c r="Q17" s="322"/>
      <c r="R17" s="322"/>
      <c r="S17" s="322"/>
      <c r="T17" s="322"/>
      <c r="U17" s="322"/>
    </row>
    <row r="18" spans="2:21" ht="21" customHeight="1">
      <c r="B18" s="402" t="s">
        <v>113</v>
      </c>
      <c r="C18" s="402"/>
      <c r="D18" s="402"/>
      <c r="E18" s="402"/>
      <c r="F18" s="402"/>
      <c r="G18" s="1174" t="s">
        <v>787</v>
      </c>
      <c r="H18" s="1679"/>
      <c r="I18" s="1680"/>
      <c r="O18" s="322"/>
      <c r="P18" s="322"/>
      <c r="Q18" s="322"/>
      <c r="R18" s="322"/>
      <c r="S18" s="322"/>
      <c r="T18" s="322"/>
      <c r="U18" s="322"/>
    </row>
    <row r="19" spans="2:21" ht="21" customHeight="1">
      <c r="B19" s="402" t="s">
        <v>326</v>
      </c>
      <c r="C19" s="402"/>
      <c r="D19" s="402"/>
      <c r="E19" s="402"/>
      <c r="F19" s="402"/>
      <c r="G19" s="601"/>
      <c r="H19" s="1830" t="s">
        <v>787</v>
      </c>
      <c r="I19" s="1831"/>
      <c r="O19" s="322"/>
      <c r="P19" s="322"/>
      <c r="Q19" s="322"/>
      <c r="R19" s="322"/>
      <c r="S19" s="322"/>
      <c r="T19" s="322"/>
      <c r="U19" s="322"/>
    </row>
    <row r="20" spans="2:21" ht="21" customHeight="1">
      <c r="B20" s="402"/>
      <c r="C20" s="402"/>
      <c r="D20" s="402"/>
      <c r="E20" s="402"/>
      <c r="F20" s="402"/>
      <c r="G20" s="689"/>
      <c r="H20" s="1839"/>
      <c r="I20" s="1840"/>
      <c r="O20" s="322"/>
      <c r="P20" s="322"/>
      <c r="Q20" s="322"/>
      <c r="R20" s="322"/>
      <c r="S20" s="322"/>
      <c r="T20" s="322"/>
      <c r="U20" s="322"/>
    </row>
    <row r="21" spans="2:21" ht="21" customHeight="1">
      <c r="B21" s="402"/>
      <c r="C21" s="402"/>
      <c r="D21" s="402"/>
      <c r="E21" s="402"/>
      <c r="F21" s="402"/>
      <c r="G21" s="689"/>
      <c r="H21" s="1839"/>
      <c r="I21" s="1840"/>
      <c r="O21" s="322"/>
      <c r="P21" s="322"/>
      <c r="Q21" s="322"/>
      <c r="R21" s="322"/>
      <c r="S21" s="322"/>
      <c r="T21" s="322"/>
      <c r="U21" s="322"/>
    </row>
    <row r="22" spans="2:21" ht="21" customHeight="1" thickBot="1">
      <c r="B22" s="402" t="str">
        <f>'KEY INPUTS'!D28</f>
        <v>Outstanding - December 31, 2019</v>
      </c>
      <c r="C22" s="402"/>
      <c r="D22" s="402"/>
      <c r="E22" s="402"/>
      <c r="F22" s="402"/>
      <c r="G22" s="1129">
        <f>+H17+H18-G19-G20-G21+H20+H21</f>
        <v>0</v>
      </c>
      <c r="H22" s="1832" t="s">
        <v>787</v>
      </c>
      <c r="I22" s="1833"/>
      <c r="O22" s="322"/>
      <c r="P22" s="322"/>
      <c r="Q22" s="322"/>
      <c r="R22" s="322"/>
      <c r="S22" s="322"/>
      <c r="T22" s="322"/>
      <c r="U22" s="322"/>
    </row>
    <row r="23" spans="2:21" ht="21" customHeight="1" thickBot="1">
      <c r="G23" s="1131">
        <f>SUM(G17:G22)</f>
        <v>0</v>
      </c>
      <c r="H23" s="1837">
        <f>SUM(H17:I22)</f>
        <v>0</v>
      </c>
      <c r="I23" s="1838"/>
    </row>
    <row r="24" spans="2:21" ht="21" customHeight="1" thickTop="1">
      <c r="B24" s="501" t="str">
        <f>TEXT('KEY INPUTS'!D34+1,"0")&amp;" Bond Maturities - Capital Bonds"</f>
        <v>2020 Bond Maturities - Capital Bonds</v>
      </c>
      <c r="C24" s="451"/>
      <c r="D24" s="451"/>
      <c r="E24" s="451"/>
      <c r="F24" s="451"/>
      <c r="G24" s="451"/>
      <c r="H24" s="451"/>
      <c r="I24" s="919"/>
      <c r="J24" s="451" t="s">
        <v>482</v>
      </c>
      <c r="K24" s="1714"/>
      <c r="L24" s="1714"/>
    </row>
    <row r="25" spans="2:21" ht="21" customHeight="1" thickBot="1">
      <c r="B25" s="498" t="str">
        <f>TEXT('KEY INPUTS'!D34+1,"0")&amp;" Interest on Bonds"</f>
        <v>2020 Interest on Bonds</v>
      </c>
      <c r="C25" s="488"/>
      <c r="D25" s="488"/>
      <c r="E25" s="488"/>
      <c r="F25" s="488"/>
      <c r="G25" s="499"/>
      <c r="H25" s="488" t="s">
        <v>482</v>
      </c>
      <c r="I25" s="608"/>
      <c r="J25" s="489"/>
      <c r="K25" s="488"/>
      <c r="L25" s="498" t="s">
        <v>3406</v>
      </c>
    </row>
    <row r="26" spans="2:21" ht="21" customHeight="1" thickTop="1"/>
    <row r="27" spans="2:21" ht="19.5" customHeight="1" thickBot="1">
      <c r="B27" s="1822" t="str">
        <f>"INTEREST  ON  BONDS  -  "&amp;UPPER('KEY INPUTS'!D52)&amp;"  UTILITY  BUDGET"</f>
        <v>INTEREST  ON  BONDS  -    UTILITY  BUDGET</v>
      </c>
      <c r="C27" s="1822"/>
      <c r="D27" s="1822"/>
      <c r="E27" s="1822"/>
      <c r="F27" s="1822"/>
      <c r="G27" s="1822"/>
      <c r="H27" s="1822"/>
      <c r="I27" s="1822"/>
      <c r="J27" s="1822"/>
      <c r="K27" s="1822"/>
      <c r="L27" s="1822"/>
    </row>
    <row r="28" spans="2:21" ht="21" customHeight="1" thickTop="1">
      <c r="B28" s="497" t="str">
        <f>TEXT('KEY INPUTS'!D34+1,"0")&amp;" Interest on Bonds (*Items)"</f>
        <v>2020 Interest on Bonds (*Items)</v>
      </c>
      <c r="C28" s="457"/>
      <c r="D28" s="457"/>
      <c r="E28" s="457"/>
      <c r="F28" s="457"/>
      <c r="G28" s="457"/>
      <c r="H28" s="457" t="s">
        <v>482</v>
      </c>
      <c r="I28" s="1230">
        <f>+I14+I25</f>
        <v>0</v>
      </c>
      <c r="O28" s="464"/>
      <c r="P28" s="464"/>
      <c r="Q28" s="464"/>
      <c r="R28" s="464"/>
    </row>
    <row r="29" spans="2:21" ht="21" customHeight="1">
      <c r="B29" s="406" t="str">
        <f>"Less: Interest Accrued to "&amp;TEXT('KEY INPUTS'!D29,"mm/dd/yyy")&amp;" (Trial Balance)"</f>
        <v>Less: Interest Accrued to 12/31/2019 (Trial Balance)</v>
      </c>
      <c r="C29" s="402"/>
      <c r="D29" s="402"/>
      <c r="E29" s="402"/>
      <c r="F29" s="402"/>
      <c r="G29" s="402"/>
      <c r="H29" s="402" t="s">
        <v>482</v>
      </c>
      <c r="I29" s="672"/>
      <c r="O29" s="464"/>
      <c r="P29" s="464"/>
      <c r="Q29" s="464"/>
      <c r="R29" s="464"/>
    </row>
    <row r="30" spans="2:21" ht="21" customHeight="1">
      <c r="B30" s="402"/>
      <c r="C30" s="402" t="s">
        <v>421</v>
      </c>
      <c r="D30" s="402"/>
      <c r="E30" s="402"/>
      <c r="F30" s="402"/>
      <c r="G30" s="402"/>
      <c r="H30" s="402" t="s">
        <v>482</v>
      </c>
      <c r="I30" s="1231">
        <f>+I28-I29</f>
        <v>0</v>
      </c>
      <c r="O30" s="464"/>
      <c r="P30" s="464"/>
      <c r="Q30" s="464"/>
      <c r="R30" s="464"/>
    </row>
    <row r="31" spans="2:21" ht="21" customHeight="1">
      <c r="B31" s="406" t="str">
        <f>"Add: Interest to be Accrued as of "&amp;TEXT('KEY INPUTS'!D30,"mm/dd/yyyy")&amp;""</f>
        <v>Add: Interest to be Accrued as of 12/31/2020</v>
      </c>
      <c r="C31" s="402"/>
      <c r="D31" s="402"/>
      <c r="E31" s="402"/>
      <c r="F31" s="402"/>
      <c r="G31" s="402"/>
      <c r="H31" s="402" t="s">
        <v>482</v>
      </c>
      <c r="I31" s="672"/>
      <c r="O31" s="464"/>
      <c r="P31" s="464"/>
      <c r="Q31" s="464"/>
      <c r="R31" s="464"/>
    </row>
    <row r="32" spans="2:21" ht="21" customHeight="1">
      <c r="B32" s="406" t="str">
        <f>"Required Appropriation "&amp;TEXT('KEY INPUTS'!D34+1,"0")</f>
        <v>Required Appropriation 2020</v>
      </c>
      <c r="C32" s="402"/>
      <c r="D32" s="402"/>
      <c r="E32" s="402"/>
      <c r="F32" s="402"/>
      <c r="G32" s="402"/>
      <c r="H32" s="402"/>
      <c r="I32" s="920"/>
      <c r="J32" s="491" t="s">
        <v>482</v>
      </c>
      <c r="K32" s="1824">
        <f>+I30+I31</f>
        <v>0</v>
      </c>
      <c r="L32" s="1825"/>
      <c r="O32" s="464"/>
      <c r="P32" s="464"/>
      <c r="Q32" s="464"/>
      <c r="R32" s="464"/>
    </row>
    <row r="33" spans="2:12" ht="13.5" customHeight="1">
      <c r="B33" s="467"/>
      <c r="C33" s="467"/>
      <c r="D33" s="467"/>
      <c r="E33" s="467"/>
      <c r="F33" s="467"/>
      <c r="G33" s="467"/>
      <c r="H33" s="467"/>
      <c r="I33" s="467"/>
      <c r="J33" s="467"/>
      <c r="K33" s="495"/>
      <c r="L33" s="494"/>
    </row>
    <row r="34" spans="2:12" ht="13.5" customHeight="1">
      <c r="B34" s="467"/>
      <c r="C34" s="467"/>
      <c r="D34" s="467"/>
      <c r="E34" s="467"/>
      <c r="F34" s="467"/>
      <c r="G34" s="467"/>
      <c r="H34" s="467"/>
      <c r="I34" s="467"/>
      <c r="J34" s="467"/>
      <c r="K34" s="495"/>
      <c r="L34" s="494"/>
    </row>
    <row r="35" spans="2:12" ht="21" customHeight="1" thickBot="1">
      <c r="B35" s="1845" t="str">
        <f>"LIST  OF  BONDS  ISSUED  DURING  "&amp;TEXT('KEY INPUTS'!D34,"0")&amp;""</f>
        <v>LIST  OF  BONDS  ISSUED  DURING  2019</v>
      </c>
      <c r="C35" s="1845"/>
      <c r="D35" s="1845"/>
      <c r="E35" s="1845"/>
      <c r="F35" s="1845"/>
      <c r="G35" s="1845"/>
      <c r="H35" s="1845"/>
      <c r="I35" s="1845"/>
      <c r="J35" s="1845"/>
      <c r="K35" s="1845"/>
      <c r="L35" s="1845"/>
    </row>
    <row r="36" spans="2:12" ht="27" customHeight="1" thickTop="1" thickBot="1">
      <c r="B36" s="1776" t="s">
        <v>532</v>
      </c>
      <c r="C36" s="1776"/>
      <c r="D36" s="1776"/>
      <c r="E36" s="1776"/>
      <c r="F36" s="1776"/>
      <c r="G36" s="493" t="str">
        <f>TEXT('KEY INPUTS'!D34,"0")&amp;" Maturity"</f>
        <v>2019 Maturity</v>
      </c>
      <c r="H36" s="1836" t="s">
        <v>109</v>
      </c>
      <c r="I36" s="1777"/>
      <c r="J36" s="1841" t="s">
        <v>107</v>
      </c>
      <c r="K36" s="1842"/>
      <c r="L36" s="492" t="s">
        <v>108</v>
      </c>
    </row>
    <row r="37" spans="2:12" ht="21" customHeight="1" thickTop="1">
      <c r="B37" s="673"/>
      <c r="C37" s="673"/>
      <c r="D37" s="673"/>
      <c r="E37" s="673"/>
      <c r="F37" s="673"/>
      <c r="G37" s="605"/>
      <c r="H37" s="1705"/>
      <c r="I37" s="1706"/>
      <c r="J37" s="1828"/>
      <c r="K37" s="1829"/>
      <c r="L37" s="917"/>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488"/>
      <c r="C41" s="488"/>
      <c r="D41" s="488"/>
      <c r="E41" s="488"/>
      <c r="F41" s="490"/>
      <c r="G41" s="1131">
        <f>SUM(G37:G40)</f>
        <v>0</v>
      </c>
      <c r="H41" s="1820">
        <f>SUM(H37:I40)</f>
        <v>0</v>
      </c>
      <c r="I41" s="1821"/>
      <c r="J41" s="489"/>
      <c r="K41" s="1232"/>
      <c r="L41" s="1233"/>
    </row>
    <row r="42" spans="2:12" ht="13.8" thickTop="1">
      <c r="G42" s="453"/>
      <c r="H42" s="453"/>
      <c r="I42" s="453"/>
    </row>
    <row r="50" spans="2:12" ht="13.8">
      <c r="B50" s="1765" t="s">
        <v>3444</v>
      </c>
      <c r="C50" s="1765"/>
      <c r="D50" s="1765"/>
      <c r="E50" s="1765"/>
      <c r="F50" s="1765"/>
      <c r="G50" s="1765"/>
      <c r="H50" s="1765"/>
      <c r="I50" s="1765"/>
      <c r="J50" s="1765"/>
      <c r="K50" s="1765"/>
      <c r="L50" s="176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0:L50"/>
    <mergeCell ref="H7:I7"/>
    <mergeCell ref="H8:I8"/>
    <mergeCell ref="H12:I12"/>
    <mergeCell ref="B36:F36"/>
    <mergeCell ref="K13:L13"/>
    <mergeCell ref="H23:I23"/>
    <mergeCell ref="H20:I20"/>
    <mergeCell ref="H21:I21"/>
    <mergeCell ref="J39:K39"/>
    <mergeCell ref="J36:K36"/>
    <mergeCell ref="H36:I36"/>
    <mergeCell ref="B15:I15"/>
    <mergeCell ref="B35:L35"/>
    <mergeCell ref="H38:I38"/>
    <mergeCell ref="H22:I22"/>
    <mergeCell ref="B2:L2"/>
    <mergeCell ref="B3:L3"/>
    <mergeCell ref="B4:L4"/>
    <mergeCell ref="J6:L6"/>
    <mergeCell ref="H6:I6"/>
    <mergeCell ref="H10:I10"/>
    <mergeCell ref="H11:I11"/>
    <mergeCell ref="H17:I17"/>
    <mergeCell ref="H19:I19"/>
    <mergeCell ref="H18:I18"/>
    <mergeCell ref="H41:I41"/>
    <mergeCell ref="H39:I39"/>
    <mergeCell ref="H40:I40"/>
    <mergeCell ref="B16:I16"/>
    <mergeCell ref="B27:L27"/>
    <mergeCell ref="K32:L32"/>
    <mergeCell ref="J40:K40"/>
    <mergeCell ref="J37:K37"/>
    <mergeCell ref="J38:K38"/>
    <mergeCell ref="H37:I37"/>
    <mergeCell ref="K24:L24"/>
  </mergeCells>
  <pageMargins left="0.25" right="0.25" top="0.5" bottom="0.5" header="0.25" footer="0.25"/>
  <pageSetup paperSize="5" orientation="portrait" r:id="rId5"/>
  <headerFooter alignWithMargins="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6">
    <tabColor theme="6" tint="0.39997558519241921"/>
  </sheetPr>
  <dimension ref="B2: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2" spans="2:21" ht="20.399999999999999">
      <c r="B2" s="1816" t="s">
        <v>606</v>
      </c>
      <c r="C2" s="1816"/>
      <c r="D2" s="1816"/>
      <c r="E2" s="1816"/>
      <c r="F2" s="1816"/>
      <c r="G2" s="1816"/>
      <c r="H2" s="1816"/>
      <c r="I2" s="1816"/>
      <c r="J2" s="1816"/>
      <c r="K2" s="1816"/>
      <c r="L2" s="1816"/>
    </row>
    <row r="3" spans="2:21" ht="20.399999999999999">
      <c r="B3" s="1849" t="str">
        <f>"AND  "&amp;TEXT('KEY INPUTS'!D34+1,"0")&amp;"  DEBT  SERVICE  FOR  LOANS"</f>
        <v>AND  2020  DEBT  SERVICE  FOR  LOANS</v>
      </c>
      <c r="C3" s="1849"/>
      <c r="D3" s="1849"/>
      <c r="E3" s="1849"/>
      <c r="F3" s="1849"/>
      <c r="G3" s="1849"/>
      <c r="H3" s="1849"/>
      <c r="I3" s="1849"/>
      <c r="J3" s="1849"/>
      <c r="K3" s="1849"/>
      <c r="L3" s="1849"/>
    </row>
    <row r="4" spans="2:21" ht="15.6">
      <c r="B4" s="1850" t="str">
        <f>UPPER('KEY INPUTS'!D$52)&amp;"  UTILITY"&amp;" ________________ LOAN"</f>
        <v xml:space="preserve">  UTILITY ________________ LOAN</v>
      </c>
      <c r="C4" s="1850"/>
      <c r="D4" s="1850"/>
      <c r="E4" s="1850"/>
      <c r="F4" s="1850"/>
      <c r="G4" s="1850"/>
      <c r="H4" s="1850"/>
      <c r="I4" s="1850"/>
      <c r="J4" s="1850"/>
      <c r="K4" s="1850"/>
      <c r="L4" s="1850"/>
    </row>
    <row r="5" spans="2:21" ht="9.75" customHeight="1" thickBot="1">
      <c r="B5" s="517"/>
      <c r="C5" s="517"/>
      <c r="D5" s="517"/>
      <c r="E5" s="517"/>
      <c r="F5" s="517"/>
      <c r="G5" s="517"/>
      <c r="H5" s="517"/>
      <c r="I5" s="517"/>
      <c r="J5" s="517"/>
      <c r="K5" s="517"/>
      <c r="L5" s="517"/>
    </row>
    <row r="6" spans="2:21" ht="27.75" customHeight="1" thickTop="1" thickBot="1">
      <c r="B6" s="516"/>
      <c r="C6" s="516"/>
      <c r="D6" s="516"/>
      <c r="E6" s="516"/>
      <c r="F6" s="516"/>
      <c r="G6" s="410" t="s">
        <v>125</v>
      </c>
      <c r="H6" s="1851" t="s">
        <v>126</v>
      </c>
      <c r="I6" s="1852"/>
      <c r="J6" s="1834" t="str">
        <f>'KEY INPUTS'!D34&amp;" Debt
Service"</f>
        <v>2019 Debt
Service</v>
      </c>
      <c r="K6" s="1835"/>
      <c r="L6" s="1835"/>
      <c r="O6" s="322"/>
      <c r="P6" s="322"/>
      <c r="Q6" s="322"/>
      <c r="R6" s="322"/>
      <c r="S6" s="322"/>
      <c r="T6" s="322"/>
      <c r="U6" s="322"/>
    </row>
    <row r="7" spans="2:21" ht="21" customHeight="1" thickTop="1">
      <c r="B7" s="474" t="str">
        <f>'KEY INPUTS'!D27</f>
        <v>Outstanding - January 1, 2019</v>
      </c>
      <c r="C7" s="415"/>
      <c r="D7" s="415"/>
      <c r="E7" s="415"/>
      <c r="F7" s="415"/>
      <c r="G7" s="145" t="s">
        <v>787</v>
      </c>
      <c r="H7" s="1705"/>
      <c r="I7" s="1706"/>
      <c r="O7" s="322"/>
      <c r="P7" s="322"/>
      <c r="Q7" s="322"/>
      <c r="R7" s="322"/>
      <c r="S7" s="322"/>
      <c r="T7" s="322"/>
      <c r="U7" s="322"/>
    </row>
    <row r="8" spans="2:21" ht="21" customHeight="1">
      <c r="B8" s="402" t="s">
        <v>113</v>
      </c>
      <c r="C8" s="334"/>
      <c r="D8" s="334"/>
      <c r="E8" s="334"/>
      <c r="F8" s="334"/>
      <c r="G8" s="146" t="s">
        <v>787</v>
      </c>
      <c r="H8" s="1679"/>
      <c r="I8" s="1680"/>
      <c r="O8" s="377"/>
      <c r="P8" s="322"/>
      <c r="Q8" s="322"/>
      <c r="R8" s="322"/>
      <c r="S8" s="322"/>
      <c r="T8" s="322"/>
      <c r="U8" s="322"/>
    </row>
    <row r="9" spans="2:21" ht="21" customHeight="1">
      <c r="B9" s="648"/>
      <c r="C9" s="648"/>
      <c r="D9" s="648"/>
      <c r="E9" s="648"/>
      <c r="F9" s="648"/>
      <c r="G9" s="683"/>
      <c r="H9" s="1679"/>
      <c r="I9" s="1680"/>
      <c r="O9" s="322"/>
      <c r="P9" s="322"/>
      <c r="Q9" s="322"/>
      <c r="R9" s="322"/>
      <c r="S9" s="322"/>
      <c r="T9" s="322"/>
      <c r="U9" s="322"/>
    </row>
    <row r="10" spans="2:21" ht="21" customHeight="1">
      <c r="B10" s="402" t="s">
        <v>326</v>
      </c>
      <c r="C10" s="334"/>
      <c r="D10" s="334"/>
      <c r="E10" s="334"/>
      <c r="F10" s="334"/>
      <c r="G10" s="601"/>
      <c r="H10" s="1661" t="s">
        <v>787</v>
      </c>
      <c r="I10" s="1662"/>
      <c r="O10" s="322"/>
      <c r="P10" s="322"/>
      <c r="Q10" s="322"/>
      <c r="R10" s="322"/>
      <c r="S10" s="322"/>
      <c r="T10" s="322"/>
      <c r="U10" s="322"/>
    </row>
    <row r="11" spans="2:21" ht="21" customHeight="1" thickBot="1">
      <c r="B11" s="402" t="str">
        <f>'KEY INPUTS'!D28</f>
        <v>Outstanding - December 31, 2019</v>
      </c>
      <c r="C11" s="334"/>
      <c r="D11" s="334"/>
      <c r="E11" s="334"/>
      <c r="F11" s="334"/>
      <c r="G11" s="141">
        <f>+H7+H8-G10+H9-G9</f>
        <v>0</v>
      </c>
      <c r="H11" s="1663" t="s">
        <v>787</v>
      </c>
      <c r="I11" s="1664"/>
      <c r="O11" s="322"/>
      <c r="P11" s="322"/>
      <c r="Q11" s="322"/>
      <c r="R11" s="322"/>
      <c r="S11" s="322"/>
      <c r="T11" s="322"/>
      <c r="U11" s="322"/>
    </row>
    <row r="12" spans="2:21" ht="21" customHeight="1" thickBot="1">
      <c r="B12" s="398"/>
      <c r="G12" s="137">
        <f>SUM(G7:G11)</f>
        <v>0</v>
      </c>
      <c r="H12" s="1710">
        <f>SUM(H7:I11)</f>
        <v>0</v>
      </c>
      <c r="I12" s="1711"/>
      <c r="O12" s="322"/>
      <c r="P12" s="322"/>
      <c r="Q12" s="322"/>
      <c r="R12" s="322"/>
      <c r="S12" s="322"/>
      <c r="T12" s="322"/>
      <c r="U12" s="322"/>
    </row>
    <row r="13" spans="2:21" ht="21" customHeight="1" thickTop="1">
      <c r="B13" s="501" t="str">
        <f>TEXT('KEY INPUTS'!D34+1,"0")&amp;" Loan Maturities"</f>
        <v>2020 Loan Maturities</v>
      </c>
      <c r="C13" s="479"/>
      <c r="D13" s="479"/>
      <c r="E13" s="479"/>
      <c r="F13" s="479"/>
      <c r="G13" s="479"/>
      <c r="H13" s="479"/>
      <c r="I13" s="515"/>
      <c r="J13" s="479" t="s">
        <v>482</v>
      </c>
      <c r="K13" s="1714"/>
      <c r="L13" s="1714"/>
      <c r="O13" s="322"/>
      <c r="P13" s="322"/>
      <c r="Q13" s="322"/>
      <c r="R13" s="322"/>
      <c r="S13" s="322"/>
      <c r="T13" s="322"/>
      <c r="U13" s="322"/>
    </row>
    <row r="14" spans="2:21" ht="21" customHeight="1" thickBot="1">
      <c r="B14" s="498" t="str">
        <f>TEXT('KEY INPUTS'!D34+1,"0")&amp;" Interest on Loans"</f>
        <v>2020 Interest on Loans</v>
      </c>
      <c r="C14" s="413"/>
      <c r="D14" s="413"/>
      <c r="E14" s="413"/>
      <c r="F14" s="413"/>
      <c r="G14" s="514"/>
      <c r="H14" s="413" t="s">
        <v>482</v>
      </c>
      <c r="I14" s="674"/>
      <c r="O14" s="322"/>
      <c r="P14" s="322"/>
      <c r="Q14" s="322"/>
      <c r="R14" s="322"/>
      <c r="S14" s="322"/>
      <c r="T14" s="322"/>
      <c r="U14" s="322"/>
    </row>
    <row r="15" spans="2:21" ht="16.5" customHeight="1" thickTop="1">
      <c r="B15" s="1858"/>
      <c r="C15" s="1858"/>
      <c r="D15" s="1858"/>
      <c r="E15" s="1858"/>
      <c r="F15" s="1858"/>
      <c r="G15" s="1858"/>
      <c r="H15" s="1858"/>
      <c r="I15" s="1859"/>
      <c r="O15" s="322"/>
      <c r="P15" s="322"/>
      <c r="Q15" s="322"/>
      <c r="R15" s="322"/>
      <c r="S15" s="322"/>
      <c r="T15" s="322"/>
      <c r="U15" s="322"/>
    </row>
    <row r="16" spans="2:21" ht="26.25" customHeight="1" thickBot="1">
      <c r="B16" s="1822" t="str">
        <f>UPPER('KEY INPUTS'!D$52)&amp;"  UTILITY"&amp;" ________________ LOAN"</f>
        <v xml:space="preserve">  UTILITY ________________ LOAN</v>
      </c>
      <c r="C16" s="1822"/>
      <c r="D16" s="1822"/>
      <c r="E16" s="1822"/>
      <c r="F16" s="1822"/>
      <c r="G16" s="1822"/>
      <c r="H16" s="1822"/>
      <c r="I16" s="1823"/>
      <c r="O16" s="322"/>
      <c r="P16" s="322"/>
      <c r="Q16" s="322"/>
      <c r="R16" s="322"/>
      <c r="S16" s="322"/>
      <c r="T16" s="322"/>
      <c r="U16" s="322"/>
    </row>
    <row r="17" spans="2:21" ht="21" customHeight="1" thickTop="1">
      <c r="B17" s="474" t="str">
        <f>'KEY INPUTS'!D27</f>
        <v>Outstanding - January 1, 2019</v>
      </c>
      <c r="C17" s="415"/>
      <c r="D17" s="415"/>
      <c r="E17" s="415"/>
      <c r="F17" s="415"/>
      <c r="G17" s="145" t="s">
        <v>787</v>
      </c>
      <c r="H17" s="1705"/>
      <c r="I17" s="1706"/>
      <c r="O17" s="322"/>
      <c r="P17" s="322"/>
      <c r="Q17" s="322"/>
      <c r="R17" s="322"/>
      <c r="S17" s="322"/>
      <c r="T17" s="322"/>
      <c r="U17" s="322"/>
    </row>
    <row r="18" spans="2:21" ht="21" customHeight="1">
      <c r="B18" s="402" t="s">
        <v>113</v>
      </c>
      <c r="C18" s="334"/>
      <c r="D18" s="334"/>
      <c r="E18" s="334"/>
      <c r="F18" s="334"/>
      <c r="G18" s="146" t="s">
        <v>787</v>
      </c>
      <c r="H18" s="1679"/>
      <c r="I18" s="1680"/>
      <c r="O18" s="322"/>
      <c r="P18" s="322"/>
      <c r="Q18" s="322"/>
      <c r="R18" s="322"/>
      <c r="S18" s="322"/>
      <c r="T18" s="322"/>
      <c r="U18" s="322"/>
    </row>
    <row r="19" spans="2:21" ht="21" customHeight="1">
      <c r="B19" s="402" t="s">
        <v>326</v>
      </c>
      <c r="C19" s="334"/>
      <c r="D19" s="334"/>
      <c r="E19" s="334"/>
      <c r="F19" s="334"/>
      <c r="G19" s="601"/>
      <c r="H19" s="1661" t="s">
        <v>787</v>
      </c>
      <c r="I19" s="1662"/>
      <c r="O19" s="322"/>
      <c r="P19" s="322"/>
      <c r="Q19" s="322"/>
      <c r="R19" s="322"/>
      <c r="S19" s="322"/>
      <c r="T19" s="322"/>
      <c r="U19" s="322"/>
    </row>
    <row r="20" spans="2:21" ht="21" customHeight="1">
      <c r="B20" s="402"/>
      <c r="C20" s="334"/>
      <c r="D20" s="334"/>
      <c r="E20" s="334"/>
      <c r="F20" s="334"/>
      <c r="G20" s="120"/>
      <c r="H20" s="1854"/>
      <c r="I20" s="1855"/>
      <c r="O20" s="322"/>
      <c r="P20" s="322"/>
      <c r="Q20" s="322"/>
      <c r="R20" s="322"/>
      <c r="S20" s="322"/>
      <c r="T20" s="322"/>
      <c r="U20" s="322"/>
    </row>
    <row r="21" spans="2:21" ht="21" customHeight="1">
      <c r="B21" s="402"/>
      <c r="C21" s="334"/>
      <c r="D21" s="334"/>
      <c r="E21" s="334"/>
      <c r="F21" s="334"/>
      <c r="G21" s="120"/>
      <c r="H21" s="1854"/>
      <c r="I21" s="1855"/>
      <c r="O21" s="322"/>
      <c r="P21" s="322"/>
      <c r="Q21" s="322"/>
      <c r="R21" s="322"/>
      <c r="S21" s="322"/>
      <c r="T21" s="322"/>
      <c r="U21" s="322"/>
    </row>
    <row r="22" spans="2:21" ht="21" customHeight="1" thickBot="1">
      <c r="B22" s="402" t="str">
        <f>'KEY INPUTS'!D28</f>
        <v>Outstanding - December 31, 2019</v>
      </c>
      <c r="C22" s="334"/>
      <c r="D22" s="334"/>
      <c r="E22" s="334"/>
      <c r="F22" s="334"/>
      <c r="G22" s="141">
        <f>+H17+H18-G19-G20-G21+H20+H21</f>
        <v>0</v>
      </c>
      <c r="H22" s="1663" t="s">
        <v>787</v>
      </c>
      <c r="I22" s="1664"/>
      <c r="O22" s="322"/>
      <c r="P22" s="322"/>
      <c r="Q22" s="322"/>
      <c r="R22" s="322"/>
      <c r="S22" s="322"/>
      <c r="T22" s="322"/>
      <c r="U22" s="322"/>
    </row>
    <row r="23" spans="2:21" ht="21" customHeight="1" thickBot="1">
      <c r="B23" s="398"/>
      <c r="G23" s="137">
        <f>SUM(G17:G22)</f>
        <v>0</v>
      </c>
      <c r="H23" s="1710">
        <f>SUM(H17:I22)</f>
        <v>0</v>
      </c>
      <c r="I23" s="1711"/>
    </row>
    <row r="24" spans="2:21" ht="21" customHeight="1" thickTop="1">
      <c r="B24" s="501" t="str">
        <f>TEXT('KEY INPUTS'!D34+1,"0")&amp;" Loan Maturities"</f>
        <v>2020 Loan Maturities</v>
      </c>
      <c r="C24" s="479"/>
      <c r="D24" s="479"/>
      <c r="E24" s="479"/>
      <c r="F24" s="479"/>
      <c r="G24" s="479"/>
      <c r="H24" s="479"/>
      <c r="I24" s="515"/>
      <c r="J24" s="479" t="s">
        <v>482</v>
      </c>
      <c r="K24" s="1714"/>
      <c r="L24" s="1714"/>
    </row>
    <row r="25" spans="2:21" ht="21" customHeight="1" thickBot="1">
      <c r="B25" s="498" t="str">
        <f>TEXT('KEY INPUTS'!D34+1,"0")&amp;" Interest on Loans"</f>
        <v>2020 Interest on Loans</v>
      </c>
      <c r="C25" s="413"/>
      <c r="D25" s="413"/>
      <c r="E25" s="413"/>
      <c r="F25" s="413"/>
      <c r="G25" s="514"/>
      <c r="H25" s="413" t="s">
        <v>482</v>
      </c>
      <c r="I25" s="608"/>
      <c r="J25" s="505"/>
      <c r="K25" s="413"/>
      <c r="L25" s="413"/>
    </row>
    <row r="26" spans="2:21" ht="21" customHeight="1" thickTop="1"/>
    <row r="27" spans="2:21" ht="19.5" customHeight="1" thickBot="1">
      <c r="B27" s="1822" t="str">
        <f>"INTEREST  ON  LOANS  - "&amp;UPPER('KEY INPUTS'!D52)&amp;"  UTILITY  BUDGET"</f>
        <v>INTEREST  ON  LOANS  -   UTILITY  BUDGET</v>
      </c>
      <c r="C27" s="1822"/>
      <c r="D27" s="1822"/>
      <c r="E27" s="1822"/>
      <c r="F27" s="1822"/>
      <c r="G27" s="1822"/>
      <c r="H27" s="1822"/>
      <c r="I27" s="1822"/>
      <c r="J27" s="1822"/>
      <c r="K27" s="1822"/>
      <c r="L27" s="1822"/>
    </row>
    <row r="28" spans="2:21" ht="21" customHeight="1" thickTop="1">
      <c r="B28" s="497" t="str">
        <f>TEXT('KEY INPUTS'!D34+1,"0")&amp;" Interest on Loans (*Items)"</f>
        <v>2020 Interest on Loans (*Items)</v>
      </c>
      <c r="C28" s="457"/>
      <c r="D28" s="415"/>
      <c r="E28" s="415"/>
      <c r="F28" s="415"/>
      <c r="G28" s="415"/>
      <c r="H28" s="415" t="s">
        <v>482</v>
      </c>
      <c r="I28" s="513">
        <f>+I25+I14</f>
        <v>0</v>
      </c>
    </row>
    <row r="29" spans="2:21" ht="21" customHeight="1">
      <c r="B29" s="406" t="str">
        <f>"Less: Interest Accrued to "&amp;TEXT('KEY INPUTS'!D29,"mm/dd/yyy")&amp;" (Trial Balance)"</f>
        <v>Less: Interest Accrued to 12/31/2019 (Trial Balance)</v>
      </c>
      <c r="C29" s="402"/>
      <c r="D29" s="334"/>
      <c r="E29" s="334"/>
      <c r="F29" s="334"/>
      <c r="G29" s="334"/>
      <c r="H29" s="334" t="s">
        <v>482</v>
      </c>
      <c r="I29" s="600"/>
    </row>
    <row r="30" spans="2:21" ht="21" customHeight="1">
      <c r="B30" s="402"/>
      <c r="C30" s="402" t="s">
        <v>421</v>
      </c>
      <c r="D30" s="334"/>
      <c r="E30" s="334"/>
      <c r="F30" s="334"/>
      <c r="G30" s="334"/>
      <c r="H30" s="334" t="s">
        <v>482</v>
      </c>
      <c r="I30" s="512">
        <f>+I28-I29</f>
        <v>0</v>
      </c>
    </row>
    <row r="31" spans="2:21" ht="21" customHeight="1">
      <c r="B31" s="406" t="str">
        <f>"Add: Interest to be Accrued as of "&amp;TEXT('KEY INPUTS'!D30,"mm/dd/yyyy")&amp;""</f>
        <v>Add: Interest to be Accrued as of 12/31/2020</v>
      </c>
      <c r="C31" s="402"/>
      <c r="D31" s="334"/>
      <c r="E31" s="334"/>
      <c r="F31" s="334"/>
      <c r="G31" s="334"/>
      <c r="H31" s="334" t="s">
        <v>482</v>
      </c>
      <c r="I31" s="600"/>
    </row>
    <row r="32" spans="2:21" ht="21" customHeight="1">
      <c r="B32" s="406" t="str">
        <f>"Required Appropriation "&amp;TEXT('KEY INPUTS'!D34+1,"0")</f>
        <v>Required Appropriation 2020</v>
      </c>
      <c r="C32" s="402"/>
      <c r="D32" s="334"/>
      <c r="E32" s="334"/>
      <c r="F32" s="334"/>
      <c r="G32" s="334"/>
      <c r="H32" s="334"/>
      <c r="I32" s="414"/>
      <c r="J32" s="506" t="s">
        <v>482</v>
      </c>
      <c r="K32" s="1846">
        <f>+I30+I31</f>
        <v>0</v>
      </c>
      <c r="L32" s="1847"/>
    </row>
    <row r="33" spans="2:12" ht="13.5" customHeight="1">
      <c r="B33" s="510"/>
      <c r="C33" s="510"/>
      <c r="D33" s="510"/>
      <c r="E33" s="510"/>
      <c r="F33" s="510"/>
      <c r="G33" s="510"/>
      <c r="H33" s="510"/>
      <c r="I33" s="510"/>
      <c r="J33" s="510"/>
      <c r="K33" s="509"/>
      <c r="L33" s="508"/>
    </row>
    <row r="34" spans="2:12" ht="13.5" customHeight="1">
      <c r="B34" s="510"/>
      <c r="C34" s="510"/>
      <c r="D34" s="510"/>
      <c r="E34" s="510"/>
      <c r="F34" s="510"/>
      <c r="G34" s="510"/>
      <c r="H34" s="510"/>
      <c r="I34" s="510"/>
      <c r="J34" s="510"/>
      <c r="K34" s="509"/>
      <c r="L34" s="508"/>
    </row>
    <row r="35" spans="2:12" ht="21" customHeight="1" thickBot="1">
      <c r="B35" s="1845" t="str">
        <f>"LIST  OF  LOANS  ISSUED  DURING  "&amp;TEXT('KEY INPUTS'!D34,"0")&amp;""</f>
        <v>LIST  OF  LOANS  ISSUED  DURING  2019</v>
      </c>
      <c r="C35" s="1845"/>
      <c r="D35" s="1845"/>
      <c r="E35" s="1845"/>
      <c r="F35" s="1845"/>
      <c r="G35" s="1845"/>
      <c r="H35" s="1845"/>
      <c r="I35" s="1845"/>
      <c r="J35" s="1845"/>
      <c r="K35" s="1845"/>
      <c r="L35" s="1845"/>
    </row>
    <row r="36" spans="2:12" ht="27" customHeight="1" thickTop="1" thickBot="1">
      <c r="B36" s="1853" t="s">
        <v>532</v>
      </c>
      <c r="C36" s="1853"/>
      <c r="D36" s="1853"/>
      <c r="E36" s="1853"/>
      <c r="F36" s="1853"/>
      <c r="G36" s="493" t="str">
        <f>TEXT('KEY INPUTS'!D34,"0")&amp;" Maturity"</f>
        <v>2019 Maturity</v>
      </c>
      <c r="H36" s="1851" t="s">
        <v>109</v>
      </c>
      <c r="I36" s="1852"/>
      <c r="J36" s="1856" t="s">
        <v>107</v>
      </c>
      <c r="K36" s="1857"/>
      <c r="L36" s="507"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413"/>
      <c r="C41" s="413"/>
      <c r="D41" s="413"/>
      <c r="E41" s="413"/>
      <c r="F41" s="412"/>
      <c r="G41" s="137">
        <f>SUM(G37:G40)</f>
        <v>0</v>
      </c>
      <c r="H41" s="1715">
        <f>SUM(H37:I40)</f>
        <v>0</v>
      </c>
      <c r="I41" s="1716"/>
      <c r="J41" s="505"/>
      <c r="K41" s="413"/>
      <c r="L41" s="417"/>
    </row>
    <row r="42" spans="2:12" ht="13.8" thickTop="1">
      <c r="G42" s="504"/>
      <c r="H42" s="504"/>
      <c r="I42" s="504"/>
    </row>
    <row r="51" spans="2:12" ht="13.8">
      <c r="B51" s="1812" t="s">
        <v>3445</v>
      </c>
      <c r="C51" s="1812"/>
      <c r="D51" s="1812"/>
      <c r="E51" s="1812"/>
      <c r="F51" s="1812"/>
      <c r="G51" s="1812"/>
      <c r="H51" s="1812"/>
      <c r="I51" s="1812"/>
      <c r="J51" s="1812"/>
      <c r="K51" s="1812"/>
      <c r="L51" s="1812"/>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8">
    <mergeCell ref="H9:I9"/>
    <mergeCell ref="B51:L51"/>
    <mergeCell ref="H7:I7"/>
    <mergeCell ref="H8:I8"/>
    <mergeCell ref="H12:I12"/>
    <mergeCell ref="B36:F36"/>
    <mergeCell ref="K13:L13"/>
    <mergeCell ref="H23:I23"/>
    <mergeCell ref="H20:I20"/>
    <mergeCell ref="H21:I21"/>
    <mergeCell ref="J39:K39"/>
    <mergeCell ref="J36:K36"/>
    <mergeCell ref="H36:I36"/>
    <mergeCell ref="B15:I15"/>
    <mergeCell ref="B35:L35"/>
    <mergeCell ref="H38:I38"/>
    <mergeCell ref="H10:I10"/>
    <mergeCell ref="H11:I11"/>
    <mergeCell ref="H17:I17"/>
    <mergeCell ref="H19:I19"/>
    <mergeCell ref="H18:I18"/>
    <mergeCell ref="B2:L2"/>
    <mergeCell ref="B3:L3"/>
    <mergeCell ref="B4:L4"/>
    <mergeCell ref="J6:L6"/>
    <mergeCell ref="H6:I6"/>
    <mergeCell ref="H41:I41"/>
    <mergeCell ref="H39:I39"/>
    <mergeCell ref="H40:I40"/>
    <mergeCell ref="B16:I16"/>
    <mergeCell ref="B27:L27"/>
    <mergeCell ref="K32:L32"/>
    <mergeCell ref="J40:K40"/>
    <mergeCell ref="J37:K37"/>
    <mergeCell ref="J38:K38"/>
    <mergeCell ref="H37:I37"/>
    <mergeCell ref="K24:L24"/>
    <mergeCell ref="H22:I22"/>
  </mergeCells>
  <pageMargins left="0.25" right="0.25" top="0.5" bottom="0.5" header="0.25" footer="0.25"/>
  <pageSetup paperSize="5" orientation="portrait" r:id="rId5"/>
  <headerFooter alignWithMargins="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7">
    <tabColor theme="6" tint="0.39997558519241921"/>
  </sheetPr>
  <dimension ref="B2: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2" spans="2:21" ht="20.399999999999999">
      <c r="B2" s="1816" t="s">
        <v>606</v>
      </c>
      <c r="C2" s="1816"/>
      <c r="D2" s="1816"/>
      <c r="E2" s="1816"/>
      <c r="F2" s="1816"/>
      <c r="G2" s="1816"/>
      <c r="H2" s="1816"/>
      <c r="I2" s="1816"/>
      <c r="J2" s="1816"/>
      <c r="K2" s="1816"/>
      <c r="L2" s="1816"/>
    </row>
    <row r="3" spans="2:21" ht="20.399999999999999">
      <c r="B3" s="1849" t="str">
        <f>"AND  "&amp;TEXT('KEY INPUTS'!D34+1,"0")&amp;"  DEBT  SERVICE  FOR  LOANS"</f>
        <v>AND  2020  DEBT  SERVICE  FOR  LOANS</v>
      </c>
      <c r="C3" s="1849"/>
      <c r="D3" s="1849"/>
      <c r="E3" s="1849"/>
      <c r="F3" s="1849"/>
      <c r="G3" s="1849"/>
      <c r="H3" s="1849"/>
      <c r="I3" s="1849"/>
      <c r="J3" s="1849"/>
      <c r="K3" s="1849"/>
      <c r="L3" s="1849"/>
    </row>
    <row r="4" spans="2:21" ht="15.6">
      <c r="B4" s="1850" t="str">
        <f>UPPER('KEY INPUTS'!D$52)&amp;"  UTILITY"&amp;" ________________ LOAN"</f>
        <v xml:space="preserve">  UTILITY ________________ LOAN</v>
      </c>
      <c r="C4" s="1850"/>
      <c r="D4" s="1850"/>
      <c r="E4" s="1850"/>
      <c r="F4" s="1850"/>
      <c r="G4" s="1850"/>
      <c r="H4" s="1850"/>
      <c r="I4" s="1850"/>
      <c r="J4" s="1850"/>
      <c r="K4" s="1850"/>
      <c r="L4" s="1850"/>
    </row>
    <row r="5" spans="2:21" ht="9.75" customHeight="1" thickBot="1">
      <c r="B5" s="807"/>
      <c r="C5" s="807"/>
      <c r="D5" s="807"/>
      <c r="E5" s="807"/>
      <c r="F5" s="807"/>
      <c r="G5" s="807"/>
      <c r="H5" s="807"/>
      <c r="I5" s="807"/>
      <c r="J5" s="807"/>
      <c r="K5" s="807"/>
      <c r="L5" s="807"/>
    </row>
    <row r="6" spans="2:21" ht="27.75" customHeight="1" thickTop="1" thickBot="1">
      <c r="B6" s="516"/>
      <c r="C6" s="516"/>
      <c r="D6" s="516"/>
      <c r="E6" s="516"/>
      <c r="F6" s="516"/>
      <c r="G6" s="410" t="s">
        <v>125</v>
      </c>
      <c r="H6" s="1851" t="s">
        <v>126</v>
      </c>
      <c r="I6" s="1852"/>
      <c r="J6" s="1834" t="str">
        <f>'KEY INPUTS'!D34&amp;" Debt
Service"</f>
        <v>2019 Debt
Service</v>
      </c>
      <c r="K6" s="1835"/>
      <c r="L6" s="1835"/>
      <c r="O6" s="322"/>
      <c r="P6" s="322"/>
      <c r="Q6" s="322"/>
      <c r="R6" s="322"/>
      <c r="S6" s="322"/>
      <c r="T6" s="322"/>
      <c r="U6" s="322"/>
    </row>
    <row r="7" spans="2:21" ht="21" customHeight="1" thickTop="1">
      <c r="B7" s="474" t="str">
        <f>'KEY INPUTS'!D27</f>
        <v>Outstanding - January 1, 2019</v>
      </c>
      <c r="C7" s="415"/>
      <c r="D7" s="415"/>
      <c r="E7" s="415"/>
      <c r="F7" s="415"/>
      <c r="G7" s="145" t="s">
        <v>787</v>
      </c>
      <c r="H7" s="1705"/>
      <c r="I7" s="1706"/>
      <c r="O7" s="322"/>
      <c r="P7" s="322"/>
      <c r="Q7" s="322"/>
      <c r="R7" s="322"/>
      <c r="S7" s="322"/>
      <c r="T7" s="322"/>
      <c r="U7" s="322"/>
    </row>
    <row r="8" spans="2:21" ht="21" customHeight="1">
      <c r="B8" s="402" t="s">
        <v>113</v>
      </c>
      <c r="C8" s="334"/>
      <c r="D8" s="334"/>
      <c r="E8" s="334"/>
      <c r="F8" s="334"/>
      <c r="G8" s="146" t="s">
        <v>787</v>
      </c>
      <c r="H8" s="1679"/>
      <c r="I8" s="1680"/>
      <c r="O8" s="377"/>
      <c r="P8" s="322"/>
      <c r="Q8" s="322"/>
      <c r="R8" s="322"/>
      <c r="S8" s="322"/>
      <c r="T8" s="322"/>
      <c r="U8" s="322"/>
    </row>
    <row r="9" spans="2:21" ht="21" customHeight="1">
      <c r="B9" s="402"/>
      <c r="C9" s="334"/>
      <c r="D9" s="334"/>
      <c r="E9" s="334"/>
      <c r="F9" s="334"/>
      <c r="G9" s="146"/>
      <c r="H9" s="806"/>
      <c r="I9" s="1002"/>
      <c r="O9" s="322"/>
      <c r="P9" s="322"/>
      <c r="Q9" s="322"/>
      <c r="R9" s="322"/>
      <c r="S9" s="322"/>
      <c r="T9" s="322"/>
      <c r="U9" s="322"/>
    </row>
    <row r="10" spans="2:21" ht="21" customHeight="1">
      <c r="B10" s="402" t="s">
        <v>326</v>
      </c>
      <c r="C10" s="334"/>
      <c r="D10" s="334"/>
      <c r="E10" s="334"/>
      <c r="F10" s="334"/>
      <c r="G10" s="601"/>
      <c r="H10" s="1661" t="s">
        <v>787</v>
      </c>
      <c r="I10" s="1662"/>
      <c r="O10" s="322"/>
      <c r="P10" s="322"/>
      <c r="Q10" s="322"/>
      <c r="R10" s="322"/>
      <c r="S10" s="322"/>
      <c r="T10" s="322"/>
      <c r="U10" s="322"/>
    </row>
    <row r="11" spans="2:21" ht="21" customHeight="1" thickBot="1">
      <c r="B11" s="402" t="str">
        <f>'KEY INPUTS'!D28</f>
        <v>Outstanding - December 31, 2019</v>
      </c>
      <c r="C11" s="334"/>
      <c r="D11" s="334"/>
      <c r="E11" s="334"/>
      <c r="F11" s="334"/>
      <c r="G11" s="141">
        <f>+H7+H8-G10</f>
        <v>0</v>
      </c>
      <c r="H11" s="1663" t="s">
        <v>787</v>
      </c>
      <c r="I11" s="1664"/>
      <c r="O11" s="322"/>
      <c r="P11" s="322"/>
      <c r="Q11" s="322"/>
      <c r="R11" s="322"/>
      <c r="S11" s="322"/>
      <c r="T11" s="322"/>
      <c r="U11" s="322"/>
    </row>
    <row r="12" spans="2:21" ht="21" customHeight="1" thickBot="1">
      <c r="B12" s="398"/>
      <c r="G12" s="137">
        <f>SUM(G7:G11)</f>
        <v>0</v>
      </c>
      <c r="H12" s="1710">
        <f>SUM(H7:I11)</f>
        <v>0</v>
      </c>
      <c r="I12" s="1711"/>
      <c r="O12" s="322"/>
      <c r="P12" s="322"/>
      <c r="Q12" s="322"/>
      <c r="R12" s="322"/>
      <c r="S12" s="322"/>
      <c r="T12" s="322"/>
      <c r="U12" s="322"/>
    </row>
    <row r="13" spans="2:21" ht="21" customHeight="1" thickTop="1">
      <c r="B13" s="501" t="str">
        <f>TEXT('KEY INPUTS'!D34+1,"0")&amp;" Loan Maturities"</f>
        <v>2020 Loan Maturities</v>
      </c>
      <c r="C13" s="479"/>
      <c r="D13" s="479"/>
      <c r="E13" s="479"/>
      <c r="F13" s="479"/>
      <c r="G13" s="479"/>
      <c r="H13" s="479"/>
      <c r="I13" s="515"/>
      <c r="J13" s="479" t="s">
        <v>482</v>
      </c>
      <c r="K13" s="1714"/>
      <c r="L13" s="1714"/>
      <c r="O13" s="322"/>
      <c r="P13" s="322"/>
      <c r="Q13" s="322"/>
      <c r="R13" s="322"/>
      <c r="S13" s="322"/>
      <c r="T13" s="322"/>
      <c r="U13" s="322"/>
    </row>
    <row r="14" spans="2:21" ht="21" customHeight="1" thickBot="1">
      <c r="B14" s="498" t="str">
        <f>TEXT('KEY INPUTS'!D34+1,"0")&amp;" Interest on Loans"</f>
        <v>2020 Interest on Loans</v>
      </c>
      <c r="C14" s="413"/>
      <c r="D14" s="413"/>
      <c r="E14" s="413"/>
      <c r="F14" s="413"/>
      <c r="G14" s="514"/>
      <c r="H14" s="413" t="s">
        <v>482</v>
      </c>
      <c r="I14" s="674"/>
      <c r="O14" s="322"/>
      <c r="P14" s="322"/>
      <c r="Q14" s="322"/>
      <c r="R14" s="322"/>
      <c r="S14" s="322"/>
      <c r="T14" s="322"/>
      <c r="U14" s="322"/>
    </row>
    <row r="15" spans="2:21" ht="16.5" customHeight="1" thickTop="1">
      <c r="B15" s="1858"/>
      <c r="C15" s="1858"/>
      <c r="D15" s="1858"/>
      <c r="E15" s="1858"/>
      <c r="F15" s="1858"/>
      <c r="G15" s="1858"/>
      <c r="H15" s="1858"/>
      <c r="I15" s="1859"/>
      <c r="O15" s="322"/>
      <c r="P15" s="322"/>
      <c r="Q15" s="322"/>
      <c r="R15" s="322"/>
      <c r="S15" s="322"/>
      <c r="T15" s="322"/>
      <c r="U15" s="322"/>
    </row>
    <row r="16" spans="2:21" ht="26.25" customHeight="1" thickBot="1">
      <c r="B16" s="1822" t="str">
        <f>UPPER('KEY INPUTS'!D$52)&amp;"  UTILITY"&amp;" ________________ LOAN"</f>
        <v xml:space="preserve">  UTILITY ________________ LOAN</v>
      </c>
      <c r="C16" s="1822"/>
      <c r="D16" s="1822"/>
      <c r="E16" s="1822"/>
      <c r="F16" s="1822"/>
      <c r="G16" s="1822"/>
      <c r="H16" s="1822"/>
      <c r="I16" s="1823"/>
      <c r="O16" s="322"/>
      <c r="P16" s="322"/>
      <c r="Q16" s="322"/>
      <c r="R16" s="322"/>
      <c r="S16" s="322"/>
      <c r="T16" s="322"/>
      <c r="U16" s="322"/>
    </row>
    <row r="17" spans="2:21" ht="21" customHeight="1" thickTop="1">
      <c r="B17" s="474" t="str">
        <f>'KEY INPUTS'!D27</f>
        <v>Outstanding - January 1, 2019</v>
      </c>
      <c r="C17" s="415"/>
      <c r="D17" s="415"/>
      <c r="E17" s="415"/>
      <c r="F17" s="415"/>
      <c r="G17" s="145" t="s">
        <v>787</v>
      </c>
      <c r="H17" s="1705"/>
      <c r="I17" s="1706"/>
      <c r="O17" s="322"/>
      <c r="P17" s="322"/>
      <c r="Q17" s="322"/>
      <c r="R17" s="322"/>
      <c r="S17" s="322"/>
      <c r="T17" s="322"/>
      <c r="U17" s="322"/>
    </row>
    <row r="18" spans="2:21" ht="21" customHeight="1">
      <c r="B18" s="402" t="s">
        <v>113</v>
      </c>
      <c r="C18" s="334"/>
      <c r="D18" s="334"/>
      <c r="E18" s="334"/>
      <c r="F18" s="334"/>
      <c r="G18" s="146" t="s">
        <v>787</v>
      </c>
      <c r="H18" s="1679"/>
      <c r="I18" s="1680"/>
      <c r="O18" s="322"/>
      <c r="P18" s="322"/>
      <c r="Q18" s="322"/>
      <c r="R18" s="322"/>
      <c r="S18" s="322"/>
      <c r="T18" s="322"/>
      <c r="U18" s="322"/>
    </row>
    <row r="19" spans="2:21" ht="21" customHeight="1">
      <c r="B19" s="402" t="s">
        <v>326</v>
      </c>
      <c r="C19" s="334"/>
      <c r="D19" s="334"/>
      <c r="E19" s="334"/>
      <c r="F19" s="334"/>
      <c r="G19" s="601"/>
      <c r="H19" s="1661" t="s">
        <v>787</v>
      </c>
      <c r="I19" s="1662"/>
      <c r="O19" s="322"/>
      <c r="P19" s="322"/>
      <c r="Q19" s="322"/>
      <c r="R19" s="322"/>
      <c r="S19" s="322"/>
      <c r="T19" s="322"/>
      <c r="U19" s="322"/>
    </row>
    <row r="20" spans="2:21" ht="21" customHeight="1">
      <c r="B20" s="402"/>
      <c r="C20" s="334"/>
      <c r="D20" s="334"/>
      <c r="E20" s="334"/>
      <c r="F20" s="334"/>
      <c r="G20" s="120"/>
      <c r="H20" s="1854"/>
      <c r="I20" s="1855"/>
      <c r="O20" s="322"/>
      <c r="P20" s="322"/>
      <c r="Q20" s="322"/>
      <c r="R20" s="322"/>
      <c r="S20" s="322"/>
      <c r="T20" s="322"/>
      <c r="U20" s="322"/>
    </row>
    <row r="21" spans="2:21" ht="21" customHeight="1">
      <c r="B21" s="402"/>
      <c r="C21" s="334"/>
      <c r="D21" s="334"/>
      <c r="E21" s="334"/>
      <c r="F21" s="334"/>
      <c r="G21" s="120"/>
      <c r="H21" s="1854"/>
      <c r="I21" s="1855"/>
      <c r="O21" s="322"/>
      <c r="P21" s="322"/>
      <c r="Q21" s="322"/>
      <c r="R21" s="322"/>
      <c r="S21" s="322"/>
      <c r="T21" s="322"/>
      <c r="U21" s="322"/>
    </row>
    <row r="22" spans="2:21" ht="21" customHeight="1" thickBot="1">
      <c r="B22" s="402" t="str">
        <f>'KEY INPUTS'!D28</f>
        <v>Outstanding - December 31, 2019</v>
      </c>
      <c r="C22" s="334"/>
      <c r="D22" s="334"/>
      <c r="E22" s="334"/>
      <c r="F22" s="334"/>
      <c r="G22" s="141">
        <f>+H17+H18-G19-G20-G21+H20+H21</f>
        <v>0</v>
      </c>
      <c r="H22" s="1663" t="s">
        <v>787</v>
      </c>
      <c r="I22" s="1664"/>
      <c r="O22" s="322"/>
      <c r="P22" s="322"/>
      <c r="Q22" s="322"/>
      <c r="R22" s="322"/>
      <c r="S22" s="322"/>
      <c r="T22" s="322"/>
      <c r="U22" s="322"/>
    </row>
    <row r="23" spans="2:21" ht="21" customHeight="1" thickBot="1">
      <c r="B23" s="398"/>
      <c r="G23" s="137">
        <f>SUM(G17:G22)</f>
        <v>0</v>
      </c>
      <c r="H23" s="1710">
        <f>SUM(H17:I22)</f>
        <v>0</v>
      </c>
      <c r="I23" s="1711"/>
    </row>
    <row r="24" spans="2:21" ht="21" customHeight="1" thickTop="1">
      <c r="B24" s="501" t="str">
        <f>TEXT('KEY INPUTS'!D34+1,"0")&amp;" Loan Maturities"</f>
        <v>2020 Loan Maturities</v>
      </c>
      <c r="C24" s="479"/>
      <c r="D24" s="479"/>
      <c r="E24" s="479"/>
      <c r="F24" s="479"/>
      <c r="G24" s="479"/>
      <c r="H24" s="479"/>
      <c r="I24" s="515"/>
      <c r="J24" s="479" t="s">
        <v>482</v>
      </c>
      <c r="K24" s="1714"/>
      <c r="L24" s="1714"/>
    </row>
    <row r="25" spans="2:21" ht="21" customHeight="1" thickBot="1">
      <c r="B25" s="498" t="str">
        <f>TEXT('KEY INPUTS'!D34+1,"0")&amp;" Interest on Loans"</f>
        <v>2020 Interest on Loans</v>
      </c>
      <c r="C25" s="413"/>
      <c r="D25" s="413"/>
      <c r="E25" s="413"/>
      <c r="F25" s="413"/>
      <c r="G25" s="514"/>
      <c r="H25" s="413" t="s">
        <v>482</v>
      </c>
      <c r="I25" s="608"/>
      <c r="J25" s="505"/>
      <c r="K25" s="413"/>
      <c r="L25" s="413"/>
    </row>
    <row r="26" spans="2:21" ht="21" customHeight="1" thickTop="1"/>
    <row r="27" spans="2:21" ht="19.5" customHeight="1" thickBot="1">
      <c r="B27" s="1822" t="str">
        <f>"INTEREST  ON  LOANS  - "&amp;UPPER('KEY INPUTS'!D52)&amp;"  UTILITY  BUDGET"</f>
        <v>INTEREST  ON  LOANS  -   UTILITY  BUDGET</v>
      </c>
      <c r="C27" s="1822"/>
      <c r="D27" s="1822"/>
      <c r="E27" s="1822"/>
      <c r="F27" s="1822"/>
      <c r="G27" s="1822"/>
      <c r="H27" s="1822"/>
      <c r="I27" s="1822"/>
      <c r="J27" s="1822"/>
      <c r="K27" s="1822"/>
      <c r="L27" s="1822"/>
    </row>
    <row r="28" spans="2:21" ht="21" customHeight="1" thickTop="1">
      <c r="B28" s="497" t="str">
        <f>TEXT('KEY INPUTS'!D34+1,"0")&amp;" Interest on Loans (*Items)"</f>
        <v>2020 Interest on Loans (*Items)</v>
      </c>
      <c r="C28" s="457"/>
      <c r="D28" s="415"/>
      <c r="E28" s="415"/>
      <c r="F28" s="415"/>
      <c r="G28" s="415"/>
      <c r="H28" s="415" t="s">
        <v>482</v>
      </c>
      <c r="I28" s="513">
        <f>+I25+I14</f>
        <v>0</v>
      </c>
    </row>
    <row r="29" spans="2:21" ht="21" customHeight="1">
      <c r="B29" s="406" t="str">
        <f>"Less: Interest Accrued to "&amp;TEXT('KEY INPUTS'!D29,"mm/dd/yyy")&amp;" (Trial Balance)"</f>
        <v>Less: Interest Accrued to 12/31/2019 (Trial Balance)</v>
      </c>
      <c r="C29" s="402"/>
      <c r="D29" s="334"/>
      <c r="E29" s="334"/>
      <c r="F29" s="334"/>
      <c r="G29" s="334"/>
      <c r="H29" s="334" t="s">
        <v>482</v>
      </c>
      <c r="I29" s="600"/>
    </row>
    <row r="30" spans="2:21" ht="21" customHeight="1">
      <c r="B30" s="402"/>
      <c r="C30" s="402" t="s">
        <v>421</v>
      </c>
      <c r="D30" s="334"/>
      <c r="E30" s="334"/>
      <c r="F30" s="334"/>
      <c r="G30" s="334"/>
      <c r="H30" s="334" t="s">
        <v>482</v>
      </c>
      <c r="I30" s="512">
        <f>+I28-I29</f>
        <v>0</v>
      </c>
    </row>
    <row r="31" spans="2:21" ht="21" customHeight="1">
      <c r="B31" s="406" t="str">
        <f>"Add: Interest to be Accrued as of "&amp;TEXT('KEY INPUTS'!D30,"mm/dd/yyyy")&amp;""</f>
        <v>Add: Interest to be Accrued as of 12/31/2020</v>
      </c>
      <c r="C31" s="402"/>
      <c r="D31" s="334"/>
      <c r="E31" s="334"/>
      <c r="F31" s="334"/>
      <c r="G31" s="334"/>
      <c r="H31" s="334" t="s">
        <v>482</v>
      </c>
      <c r="I31" s="600"/>
    </row>
    <row r="32" spans="2:21" ht="21" customHeight="1">
      <c r="B32" s="406" t="str">
        <f>"Required Appropriation "&amp;TEXT('KEY INPUTS'!D34+1,"0")</f>
        <v>Required Appropriation 2020</v>
      </c>
      <c r="C32" s="402"/>
      <c r="D32" s="334"/>
      <c r="E32" s="334"/>
      <c r="F32" s="334"/>
      <c r="G32" s="334"/>
      <c r="H32" s="334"/>
      <c r="I32" s="414"/>
      <c r="J32" s="506" t="s">
        <v>482</v>
      </c>
      <c r="K32" s="1846">
        <f>+I30+I31</f>
        <v>0</v>
      </c>
      <c r="L32" s="1847"/>
    </row>
    <row r="33" spans="2:12" ht="13.5" customHeight="1">
      <c r="B33" s="510"/>
      <c r="C33" s="510"/>
      <c r="D33" s="510"/>
      <c r="E33" s="510"/>
      <c r="F33" s="510"/>
      <c r="G33" s="510"/>
      <c r="H33" s="510"/>
      <c r="I33" s="510"/>
      <c r="J33" s="510"/>
      <c r="K33" s="509"/>
      <c r="L33" s="809"/>
    </row>
    <row r="34" spans="2:12" ht="13.5" customHeight="1">
      <c r="B34" s="510"/>
      <c r="C34" s="510"/>
      <c r="D34" s="510"/>
      <c r="E34" s="510"/>
      <c r="F34" s="510"/>
      <c r="G34" s="510"/>
      <c r="H34" s="510"/>
      <c r="I34" s="510"/>
      <c r="J34" s="510"/>
      <c r="K34" s="509"/>
      <c r="L34" s="809"/>
    </row>
    <row r="35" spans="2:12" ht="21" customHeight="1" thickBot="1">
      <c r="B35" s="1845" t="str">
        <f>"LIST  OF  LOANS  ISSUED  DURING  "&amp;TEXT('KEY INPUTS'!D34,"0")&amp;""</f>
        <v>LIST  OF  LOANS  ISSUED  DURING  2019</v>
      </c>
      <c r="C35" s="1845"/>
      <c r="D35" s="1845"/>
      <c r="E35" s="1845"/>
      <c r="F35" s="1845"/>
      <c r="G35" s="1845"/>
      <c r="H35" s="1845"/>
      <c r="I35" s="1845"/>
      <c r="J35" s="1845"/>
      <c r="K35" s="1845"/>
      <c r="L35" s="1845"/>
    </row>
    <row r="36" spans="2:12" ht="27" customHeight="1" thickTop="1" thickBot="1">
      <c r="B36" s="1853" t="s">
        <v>532</v>
      </c>
      <c r="C36" s="1853"/>
      <c r="D36" s="1853"/>
      <c r="E36" s="1853"/>
      <c r="F36" s="1853"/>
      <c r="G36" s="493" t="str">
        <f>TEXT('KEY INPUTS'!D34,"0")&amp;" Maturity"</f>
        <v>2019 Maturity</v>
      </c>
      <c r="H36" s="1851" t="s">
        <v>109</v>
      </c>
      <c r="I36" s="1852"/>
      <c r="J36" s="1856" t="s">
        <v>107</v>
      </c>
      <c r="K36" s="1857"/>
      <c r="L36" s="808"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413"/>
      <c r="C41" s="413"/>
      <c r="D41" s="413"/>
      <c r="E41" s="413"/>
      <c r="F41" s="412"/>
      <c r="G41" s="137">
        <f>SUM(G37:G40)</f>
        <v>0</v>
      </c>
      <c r="H41" s="1715">
        <f>SUM(H37:I40)</f>
        <v>0</v>
      </c>
      <c r="I41" s="1716"/>
      <c r="J41" s="505"/>
      <c r="K41" s="413"/>
      <c r="L41" s="417"/>
    </row>
    <row r="42" spans="2:12" ht="13.8" thickTop="1">
      <c r="G42" s="504"/>
      <c r="H42" s="504"/>
      <c r="I42" s="504"/>
    </row>
    <row r="51" spans="2:12" ht="13.8">
      <c r="B51" s="1812" t="s">
        <v>3650</v>
      </c>
      <c r="C51" s="1812"/>
      <c r="D51" s="1812"/>
      <c r="E51" s="1812"/>
      <c r="F51" s="1812"/>
      <c r="G51" s="1812"/>
      <c r="H51" s="1812"/>
      <c r="I51" s="1812"/>
      <c r="J51" s="1812"/>
      <c r="K51" s="1812"/>
      <c r="L51" s="1812"/>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8">
    <tabColor theme="6" tint="0.39997558519241921"/>
  </sheetPr>
  <dimension ref="A2:V30"/>
  <sheetViews>
    <sheetView zoomScaleNormal="100" zoomScaleSheetLayoutView="80" workbookViewId="0">
      <selection activeCell="M26" sqref="M26"/>
    </sheetView>
  </sheetViews>
  <sheetFormatPr defaultColWidth="8.88671875" defaultRowHeight="13.2"/>
  <cols>
    <col min="1" max="1" width="5.6640625" style="398" customWidth="1"/>
    <col min="2" max="3" width="4.88671875" style="398" customWidth="1"/>
    <col min="4" max="4" width="30.44140625" style="398" customWidth="1"/>
    <col min="5" max="11" width="15.6640625" style="398" customWidth="1"/>
    <col min="12" max="12" width="1.6640625" style="398" customWidth="1"/>
    <col min="13" max="13" width="12.6640625" style="398" customWidth="1"/>
    <col min="14" max="16384" width="8.88671875" style="398"/>
  </cols>
  <sheetData>
    <row r="2" spans="1:22" ht="20.399999999999999">
      <c r="B2" s="1788" t="str">
        <f>"DEBT  SERVICE  FOR  "&amp;UPPER('KEY INPUTS'!D52)&amp;"  UTILITY  NOTES  (OTHER  THAN  UTILITY  ASSESSMENT  NOTES)"</f>
        <v>DEBT  SERVICE  FOR    UTILITY  NOTES  (OTHER  THAN  UTILITY  ASSESSMENT  NOTES)</v>
      </c>
      <c r="C2" s="1788"/>
      <c r="D2" s="1788"/>
      <c r="E2" s="1788"/>
      <c r="F2" s="1788"/>
      <c r="G2" s="1788"/>
      <c r="H2" s="1788"/>
      <c r="I2" s="1788"/>
      <c r="J2" s="1788"/>
      <c r="K2" s="1788"/>
      <c r="L2" s="1788"/>
      <c r="M2" s="1788"/>
    </row>
    <row r="3" spans="1:22" ht="21" thickBot="1">
      <c r="B3" s="1849"/>
      <c r="C3" s="1849"/>
      <c r="D3" s="1849"/>
      <c r="E3" s="1849"/>
      <c r="F3" s="1849"/>
      <c r="G3" s="1849"/>
      <c r="H3" s="1849"/>
      <c r="I3" s="1849"/>
      <c r="J3" s="1849"/>
      <c r="K3" s="1849"/>
      <c r="L3" s="1849"/>
      <c r="M3" s="1849"/>
    </row>
    <row r="4" spans="1:22" ht="13.5" customHeight="1" thickTop="1">
      <c r="B4" s="1237"/>
      <c r="C4" s="1237"/>
      <c r="D4" s="1237"/>
      <c r="E4" s="1238"/>
      <c r="F4" s="1238"/>
      <c r="G4" s="1238"/>
      <c r="H4" s="1238"/>
      <c r="I4" s="1238"/>
      <c r="J4" s="1237"/>
      <c r="K4" s="1239"/>
      <c r="L4" s="1237"/>
      <c r="M4" s="1240"/>
    </row>
    <row r="5" spans="1:22" ht="13.5" customHeight="1">
      <c r="B5" s="1114"/>
      <c r="C5" s="1114"/>
      <c r="D5" s="1114"/>
      <c r="E5" s="1241" t="s">
        <v>176</v>
      </c>
      <c r="F5" s="1242" t="s">
        <v>176</v>
      </c>
      <c r="G5" s="1242" t="s">
        <v>533</v>
      </c>
      <c r="H5" s="1242" t="s">
        <v>18</v>
      </c>
      <c r="I5" s="1242" t="s">
        <v>684</v>
      </c>
      <c r="J5" s="1866">
        <f>'KEY INPUTS'!D33</f>
        <v>2020</v>
      </c>
      <c r="K5" s="1867"/>
      <c r="L5" s="1243"/>
      <c r="M5" s="1244" t="s">
        <v>685</v>
      </c>
    </row>
    <row r="6" spans="1:22" ht="13.5" customHeight="1">
      <c r="B6" s="1114"/>
      <c r="C6" s="1864" t="s">
        <v>175</v>
      </c>
      <c r="D6" s="1865"/>
      <c r="E6" s="1241" t="s">
        <v>533</v>
      </c>
      <c r="F6" s="1242" t="s">
        <v>177</v>
      </c>
      <c r="G6" s="1242" t="s">
        <v>681</v>
      </c>
      <c r="H6" s="1242" t="s">
        <v>682</v>
      </c>
      <c r="I6" s="1242" t="s">
        <v>682</v>
      </c>
      <c r="J6" s="1868"/>
      <c r="K6" s="1869"/>
      <c r="L6" s="1245"/>
      <c r="M6" s="1244" t="s">
        <v>688</v>
      </c>
    </row>
    <row r="7" spans="1:22" ht="13.5" customHeight="1">
      <c r="B7" s="1114"/>
      <c r="C7" s="1114"/>
      <c r="D7" s="1114"/>
      <c r="E7" s="1241" t="s">
        <v>113</v>
      </c>
      <c r="F7" s="1241" t="s">
        <v>178</v>
      </c>
      <c r="G7" s="1241" t="s">
        <v>257</v>
      </c>
      <c r="H7" s="1241" t="s">
        <v>683</v>
      </c>
      <c r="I7" s="1241" t="s">
        <v>685</v>
      </c>
      <c r="J7" s="1241" t="s">
        <v>142</v>
      </c>
      <c r="K7" s="1241" t="s">
        <v>686</v>
      </c>
      <c r="L7" s="1242"/>
      <c r="M7" s="1244" t="s">
        <v>689</v>
      </c>
    </row>
    <row r="8" spans="1:22" ht="13.5" customHeight="1" thickBot="1">
      <c r="B8" s="1169"/>
      <c r="C8" s="1169"/>
      <c r="D8" s="1169"/>
      <c r="E8" s="1246"/>
      <c r="F8" s="1246"/>
      <c r="G8" s="1247" t="str">
        <f>'KEY INPUTS'!D46</f>
        <v>Dec. 31, 2019</v>
      </c>
      <c r="H8" s="1246"/>
      <c r="I8" s="1246"/>
      <c r="J8" s="1248"/>
      <c r="K8" s="1249"/>
      <c r="L8" s="1250"/>
      <c r="M8" s="1251"/>
      <c r="P8" s="322"/>
      <c r="Q8" s="322"/>
      <c r="R8" s="322"/>
      <c r="S8" s="322"/>
      <c r="T8" s="322"/>
      <c r="U8" s="322"/>
      <c r="V8" s="322"/>
    </row>
    <row r="9" spans="1:22" ht="21" customHeight="1" thickTop="1">
      <c r="B9" s="537" t="s">
        <v>384</v>
      </c>
      <c r="C9" s="675"/>
      <c r="D9" s="676"/>
      <c r="E9" s="618"/>
      <c r="F9" s="1468"/>
      <c r="G9" s="618"/>
      <c r="H9" s="678"/>
      <c r="I9" s="620"/>
      <c r="J9" s="618"/>
      <c r="K9" s="618"/>
      <c r="L9" s="629"/>
      <c r="M9" s="679"/>
      <c r="P9" s="322"/>
      <c r="Q9" s="322"/>
      <c r="R9" s="322"/>
      <c r="S9" s="322"/>
      <c r="T9" s="322"/>
      <c r="U9" s="322"/>
      <c r="V9" s="322"/>
    </row>
    <row r="10" spans="1:22" ht="21" customHeight="1">
      <c r="B10" s="536" t="s">
        <v>385</v>
      </c>
      <c r="C10" s="680"/>
      <c r="D10" s="652"/>
      <c r="E10" s="601"/>
      <c r="F10" s="1469"/>
      <c r="G10" s="601"/>
      <c r="H10" s="601"/>
      <c r="I10" s="682"/>
      <c r="J10" s="683"/>
      <c r="K10" s="601"/>
      <c r="L10" s="631"/>
      <c r="M10" s="684"/>
      <c r="N10" s="398" t="s">
        <v>3406</v>
      </c>
      <c r="O10" s="398" t="s">
        <v>3406</v>
      </c>
      <c r="P10" s="377"/>
      <c r="Q10" s="322"/>
      <c r="R10" s="322"/>
      <c r="S10" s="322"/>
      <c r="T10" s="322"/>
      <c r="U10" s="322"/>
      <c r="V10" s="322"/>
    </row>
    <row r="11" spans="1:22" ht="21" customHeight="1">
      <c r="B11" s="536" t="s">
        <v>386</v>
      </c>
      <c r="C11" s="648"/>
      <c r="D11" s="652"/>
      <c r="E11" s="601"/>
      <c r="F11" s="1470"/>
      <c r="G11" s="601"/>
      <c r="H11" s="601"/>
      <c r="I11" s="623"/>
      <c r="J11" s="601"/>
      <c r="K11" s="601"/>
      <c r="L11" s="631"/>
      <c r="M11" s="684"/>
      <c r="P11" s="322"/>
      <c r="Q11" s="322"/>
      <c r="R11" s="322"/>
      <c r="S11" s="322"/>
      <c r="T11" s="322"/>
      <c r="U11" s="322"/>
      <c r="V11" s="322"/>
    </row>
    <row r="12" spans="1:22" ht="21" customHeight="1">
      <c r="B12" s="536" t="s">
        <v>387</v>
      </c>
      <c r="C12" s="648"/>
      <c r="D12" s="652"/>
      <c r="E12" s="601"/>
      <c r="F12" s="1470"/>
      <c r="G12" s="601"/>
      <c r="H12" s="601"/>
      <c r="I12" s="623"/>
      <c r="J12" s="601"/>
      <c r="K12" s="601"/>
      <c r="L12" s="631"/>
      <c r="M12" s="684"/>
      <c r="P12" s="322"/>
      <c r="Q12" s="322"/>
      <c r="R12" s="322"/>
      <c r="S12" s="322"/>
      <c r="T12" s="322"/>
      <c r="U12" s="322"/>
      <c r="V12" s="322"/>
    </row>
    <row r="13" spans="1:22" ht="21" customHeight="1">
      <c r="B13" s="536" t="s">
        <v>388</v>
      </c>
      <c r="C13" s="648"/>
      <c r="D13" s="652"/>
      <c r="E13" s="601"/>
      <c r="F13" s="1470"/>
      <c r="G13" s="601"/>
      <c r="H13" s="601"/>
      <c r="I13" s="623"/>
      <c r="J13" s="601"/>
      <c r="K13" s="601"/>
      <c r="L13" s="631"/>
      <c r="M13" s="684"/>
      <c r="P13" s="322"/>
      <c r="Q13" s="322"/>
      <c r="R13" s="322"/>
      <c r="S13" s="322"/>
      <c r="T13" s="322"/>
      <c r="U13" s="322"/>
      <c r="V13" s="322"/>
    </row>
    <row r="14" spans="1:22" ht="21" customHeight="1">
      <c r="B14" s="536" t="s">
        <v>389</v>
      </c>
      <c r="C14" s="648"/>
      <c r="D14" s="652"/>
      <c r="E14" s="604"/>
      <c r="F14" s="1471"/>
      <c r="G14" s="604"/>
      <c r="H14" s="604"/>
      <c r="I14" s="626"/>
      <c r="J14" s="601"/>
      <c r="K14" s="601"/>
      <c r="L14" s="631"/>
      <c r="M14" s="684"/>
      <c r="P14" s="322"/>
      <c r="Q14" s="322"/>
      <c r="R14" s="322"/>
      <c r="S14" s="322"/>
      <c r="T14" s="322"/>
      <c r="U14" s="322"/>
      <c r="V14" s="322"/>
    </row>
    <row r="15" spans="1:22" ht="21" customHeight="1">
      <c r="A15" s="1863" t="s">
        <v>3446</v>
      </c>
      <c r="B15" s="536" t="s">
        <v>390</v>
      </c>
      <c r="C15" s="687"/>
      <c r="D15" s="688"/>
      <c r="E15" s="601"/>
      <c r="F15" s="1470"/>
      <c r="G15" s="601"/>
      <c r="H15" s="601"/>
      <c r="I15" s="623"/>
      <c r="J15" s="601"/>
      <c r="K15" s="601"/>
      <c r="L15" s="631"/>
      <c r="M15" s="684"/>
      <c r="P15" s="322"/>
      <c r="Q15" s="322"/>
      <c r="R15" s="322"/>
      <c r="S15" s="322"/>
      <c r="T15" s="322"/>
      <c r="U15" s="322"/>
      <c r="V15" s="322"/>
    </row>
    <row r="16" spans="1:22" ht="21" customHeight="1">
      <c r="A16" s="1863"/>
      <c r="B16" s="536" t="s">
        <v>501</v>
      </c>
      <c r="C16" s="648"/>
      <c r="D16" s="652"/>
      <c r="E16" s="601"/>
      <c r="F16" s="1470"/>
      <c r="G16" s="601"/>
      <c r="H16" s="601"/>
      <c r="I16" s="623"/>
      <c r="J16" s="601"/>
      <c r="K16" s="601"/>
      <c r="L16" s="631"/>
      <c r="M16" s="684"/>
      <c r="P16" s="322"/>
      <c r="Q16" s="322"/>
      <c r="R16" s="322"/>
      <c r="S16" s="322"/>
      <c r="T16" s="322"/>
      <c r="U16" s="322"/>
      <c r="V16" s="322"/>
    </row>
    <row r="17" spans="1:22" ht="21" customHeight="1">
      <c r="A17" s="1863"/>
      <c r="B17" s="536" t="s">
        <v>502</v>
      </c>
      <c r="C17" s="648"/>
      <c r="D17" s="652"/>
      <c r="E17" s="601"/>
      <c r="F17" s="1470"/>
      <c r="G17" s="601"/>
      <c r="H17" s="601"/>
      <c r="I17" s="623"/>
      <c r="J17" s="601"/>
      <c r="K17" s="601"/>
      <c r="L17" s="631"/>
      <c r="M17" s="684"/>
      <c r="P17" s="322"/>
      <c r="Q17" s="322"/>
      <c r="R17" s="322"/>
      <c r="S17" s="322"/>
      <c r="T17" s="322"/>
      <c r="U17" s="322"/>
      <c r="V17" s="322"/>
    </row>
    <row r="18" spans="1:22" ht="21" customHeight="1">
      <c r="A18" s="535"/>
      <c r="B18" s="696" t="s">
        <v>987</v>
      </c>
      <c r="C18" s="690"/>
      <c r="D18" s="691"/>
      <c r="E18" s="689">
        <f>SUM(E9:E17)</f>
        <v>0</v>
      </c>
      <c r="F18" s="692"/>
      <c r="G18" s="689">
        <f>SUM(G9:G17)</f>
        <v>0</v>
      </c>
      <c r="H18" s="689"/>
      <c r="I18" s="693"/>
      <c r="J18" s="689">
        <f>SUM(J9:J17)</f>
        <v>0</v>
      </c>
      <c r="K18" s="689">
        <f>SUM(K9:K17)</f>
        <v>0</v>
      </c>
      <c r="L18" s="694"/>
      <c r="M18" s="695"/>
      <c r="P18" s="322"/>
      <c r="Q18" s="322"/>
      <c r="R18" s="322"/>
      <c r="S18" s="322"/>
      <c r="T18" s="322"/>
      <c r="U18" s="322"/>
      <c r="V18" s="322"/>
    </row>
    <row r="19" spans="1:22" ht="21" customHeight="1">
      <c r="A19" s="535"/>
      <c r="B19" s="534"/>
      <c r="C19" s="467"/>
      <c r="D19" s="467"/>
      <c r="E19" s="532"/>
      <c r="F19" s="467"/>
      <c r="G19" s="532"/>
      <c r="H19" s="532"/>
      <c r="I19" s="533"/>
      <c r="J19" s="532"/>
      <c r="K19" s="532"/>
      <c r="L19" s="532"/>
      <c r="M19" s="467"/>
      <c r="P19" s="322"/>
      <c r="Q19" s="322"/>
      <c r="R19" s="322"/>
      <c r="S19" s="322"/>
      <c r="T19" s="322"/>
      <c r="U19" s="322"/>
      <c r="V19" s="322"/>
    </row>
    <row r="20" spans="1:22" ht="21" customHeight="1">
      <c r="A20" s="535"/>
      <c r="B20" s="534"/>
      <c r="C20" s="467"/>
      <c r="D20" s="467"/>
      <c r="E20" s="532"/>
      <c r="F20" s="467"/>
      <c r="G20" s="532"/>
      <c r="H20" s="532"/>
      <c r="I20" s="533"/>
      <c r="J20" s="532"/>
      <c r="K20" s="532"/>
      <c r="L20" s="532"/>
      <c r="M20" s="467"/>
      <c r="P20" s="322"/>
      <c r="Q20" s="322"/>
      <c r="R20" s="322"/>
      <c r="S20" s="322"/>
      <c r="T20" s="322"/>
      <c r="U20" s="322"/>
      <c r="V20" s="322"/>
    </row>
    <row r="21" spans="1:22" ht="13.5" customHeight="1" thickBot="1">
      <c r="B21" s="531"/>
      <c r="C21" s="530"/>
      <c r="D21" s="529"/>
      <c r="E21" s="467"/>
      <c r="F21" s="467"/>
      <c r="G21" s="467"/>
      <c r="H21" s="467"/>
      <c r="I21" s="467"/>
      <c r="J21" s="518"/>
      <c r="K21" s="467"/>
      <c r="L21" s="467"/>
      <c r="M21" s="467"/>
      <c r="P21" s="322"/>
      <c r="Q21" s="322"/>
      <c r="R21" s="322"/>
      <c r="S21" s="322"/>
      <c r="T21" s="322"/>
      <c r="U21" s="322"/>
      <c r="V21" s="322"/>
    </row>
    <row r="22" spans="1:22" ht="14.4" thickTop="1" thickBot="1">
      <c r="B22" s="472" t="s">
        <v>44</v>
      </c>
      <c r="C22" s="519"/>
      <c r="D22" s="528"/>
      <c r="E22" s="519"/>
      <c r="I22" s="1860" t="str">
        <f>"INTEREST  ON  NOTES  -  "&amp;UPPER('KEY INPUTS'!D52)&amp;" UTILITY  BUDGET"</f>
        <v>INTEREST  ON  NOTES  -   UTILITY  BUDGET</v>
      </c>
      <c r="J22" s="1861"/>
      <c r="K22" s="1861"/>
      <c r="L22" s="1861"/>
      <c r="M22" s="1862"/>
      <c r="P22" s="322"/>
      <c r="Q22" s="322"/>
      <c r="R22" s="322"/>
      <c r="S22" s="322"/>
      <c r="T22" s="322"/>
      <c r="U22" s="322"/>
      <c r="V22" s="322"/>
    </row>
    <row r="23" spans="1:22" ht="15.6" customHeight="1">
      <c r="B23" s="520" t="s">
        <v>45</v>
      </c>
      <c r="C23" s="520"/>
      <c r="D23" s="472" t="s">
        <v>46</v>
      </c>
      <c r="E23" s="519"/>
      <c r="I23" s="527" t="str">
        <f>TEXT('KEY INPUTS'!D34+1,"0")&amp;"  Interest on Notes"</f>
        <v>2020  Interest on Notes</v>
      </c>
      <c r="J23" s="468"/>
      <c r="K23" s="468"/>
      <c r="L23" s="526" t="s">
        <v>482</v>
      </c>
      <c r="M23" s="1234">
        <f>K18</f>
        <v>0</v>
      </c>
      <c r="P23" s="322"/>
      <c r="Q23" s="322"/>
      <c r="R23" s="322"/>
      <c r="S23" s="322"/>
      <c r="T23" s="322"/>
      <c r="U23" s="322"/>
      <c r="V23" s="322"/>
    </row>
    <row r="24" spans="1:22" ht="15.6" customHeight="1">
      <c r="B24" s="472"/>
      <c r="C24" s="472"/>
      <c r="D24" s="520" t="s">
        <v>47</v>
      </c>
      <c r="E24" s="519"/>
      <c r="I24" s="525" t="str">
        <f>"Less: Interest Accrued to "&amp;TEXT('KEY INPUTS'!D29,"mm/dd/yyyy")&amp;" (Trial Balance)"</f>
        <v>Less: Interest Accrued to 12/31/2019 (Trial Balance)</v>
      </c>
      <c r="J24" s="402"/>
      <c r="K24" s="402"/>
      <c r="L24" s="524" t="s">
        <v>482</v>
      </c>
      <c r="M24" s="672"/>
      <c r="P24" s="322"/>
      <c r="Q24" s="322"/>
      <c r="R24" s="322"/>
      <c r="S24" s="322"/>
      <c r="T24" s="322"/>
      <c r="U24" s="322"/>
      <c r="V24" s="322"/>
    </row>
    <row r="25" spans="1:22" ht="15.6" customHeight="1">
      <c r="B25" s="472"/>
      <c r="C25" s="472"/>
      <c r="D25" s="472" t="s">
        <v>48</v>
      </c>
      <c r="E25" s="519"/>
      <c r="I25" s="491"/>
      <c r="J25" s="402" t="s">
        <v>421</v>
      </c>
      <c r="K25" s="402"/>
      <c r="L25" s="524" t="s">
        <v>482</v>
      </c>
      <c r="M25" s="1235">
        <f>+M23-M24</f>
        <v>0</v>
      </c>
    </row>
    <row r="26" spans="1:22" ht="15.6" customHeight="1">
      <c r="B26" s="472"/>
      <c r="C26" s="472"/>
      <c r="D26" s="472" t="str">
        <f>"All notes with an original date of issue of 2016"&amp;" or prior require one legally payable installment to be budgeted if it"</f>
        <v>All notes with an original date of issue of 2016 or prior require one legally payable installment to be budgeted if it</v>
      </c>
      <c r="E26" s="519"/>
      <c r="I26" s="525" t="str">
        <f>"Add: Interest to be Accrued as of "&amp;TEXT('KEY INPUTS'!D29,"mm/dd/yyyy")&amp;""</f>
        <v>Add: Interest to be Accrued as of 12/31/2019</v>
      </c>
      <c r="J26" s="402"/>
      <c r="K26" s="402"/>
      <c r="L26" s="524" t="s">
        <v>482</v>
      </c>
      <c r="M26" s="672"/>
    </row>
    <row r="27" spans="1:22" ht="15.6" customHeight="1" thickBot="1">
      <c r="B27" s="472"/>
      <c r="C27" s="472"/>
      <c r="D27" s="472" t="str">
        <f>"is contemplated that such notes will be renewed in "&amp;TEXT('KEY INPUTS'!D34+1,"0")&amp;" or written intent of permanent financing submitted."</f>
        <v>is contemplated that such notes will be renewed in 2020 or written intent of permanent financing submitted.</v>
      </c>
      <c r="E27" s="519"/>
      <c r="I27" s="523" t="str">
        <f>"Required Appropriation - "&amp;TEXT('KEY INPUTS'!D34+1,"0")&amp;""</f>
        <v>Required Appropriation - 2020</v>
      </c>
      <c r="J27" s="466"/>
      <c r="K27" s="466"/>
      <c r="L27" s="522" t="s">
        <v>482</v>
      </c>
      <c r="M27" s="1236">
        <f>+M25+M26</f>
        <v>0</v>
      </c>
    </row>
    <row r="28" spans="1:22" ht="13.8" thickTop="1">
      <c r="B28" s="472"/>
      <c r="C28" s="472"/>
      <c r="D28" s="472" t="s">
        <v>49</v>
      </c>
      <c r="E28" s="519"/>
    </row>
    <row r="29" spans="1:22">
      <c r="B29" s="519"/>
      <c r="C29" s="519"/>
      <c r="D29" s="520" t="s">
        <v>50</v>
      </c>
      <c r="E29" s="519"/>
    </row>
    <row r="30" spans="1:22">
      <c r="J30" s="518" t="s">
        <v>127</v>
      </c>
    </row>
  </sheetData>
  <sheetProtection algorithmName="SHA-512" hashValue="z8poSpD9ni5MJ8MqeDnFdy7T4L4cG3GnFNYobmFBNpWxc/50HlIn2C7lvmVyu1rdevy9d1VmiKEfhTB6+eKidg==" saltValue="CZKUZJPaDQIbD1f1WpS65w==" spinCount="100000" sheet="1" objects="1" scenarios="1"/>
  <customSheetViews>
    <customSheetView guid="{AC653BD0-46E3-42CB-9C76-32121A57B65A}">
      <selection activeCell="M26" sqref="M26"/>
      <pageMargins left="0.25" right="0.25" top="0.5" bottom="0.5" header="0.25" footer="0.25"/>
      <pageSetup paperSize="5" orientation="landscape" r:id="rId1"/>
      <headerFooter alignWithMargins="0"/>
    </customSheetView>
    <customSheetView guid="{B165479B-DC25-403C-9595-F1A88A4AA9A2}">
      <selection activeCell="M26" sqref="M26"/>
      <pageMargins left="0.25" right="0.25" top="0.5" bottom="0.5" header="0.25" footer="0.25"/>
      <pageSetup paperSize="5" orientation="landscape" r:id="rId2"/>
      <headerFooter alignWithMargins="0"/>
    </customSheetView>
    <customSheetView guid="{A64E4C9E-A3DA-4AAA-8607-F524450B9436}">
      <selection activeCell="M26" sqref="M26"/>
      <pageMargins left="0.25" right="0.25" top="0.5" bottom="0.5" header="0.25" footer="0.25"/>
      <pageSetup paperSize="5" orientation="landscape" r:id="rId3"/>
      <headerFooter alignWithMargins="0"/>
    </customSheetView>
    <customSheetView guid="{AB4FBD91-4533-473A-9702-569FF6402073}">
      <selection activeCell="M26" sqref="M26"/>
      <pageMargins left="0.25" right="0.25" top="0.5" bottom="0.5" header="0.25" footer="0.25"/>
      <pageSetup paperSize="5" orientation="landscape" r:id="rId4"/>
      <headerFooter alignWithMargins="0"/>
    </customSheetView>
  </customSheetViews>
  <mergeCells count="6">
    <mergeCell ref="I22:M22"/>
    <mergeCell ref="B2:M2"/>
    <mergeCell ref="B3:M3"/>
    <mergeCell ref="A15:A17"/>
    <mergeCell ref="C6:D6"/>
    <mergeCell ref="J5:K6"/>
  </mergeCells>
  <pageMargins left="0.25" right="0.25" top="0.5" bottom="0.5" header="0.25" footer="0.25"/>
  <pageSetup paperSize="5" orientation="landscape" r:id="rId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3:M48"/>
  <sheetViews>
    <sheetView zoomScaleNormal="100" workbookViewId="0">
      <selection activeCell="B1" sqref="B1"/>
    </sheetView>
  </sheetViews>
  <sheetFormatPr defaultColWidth="9.109375" defaultRowHeight="13.2"/>
  <cols>
    <col min="1" max="1" width="4.6640625" style="322" customWidth="1"/>
    <col min="2" max="2" width="4.88671875" style="322" customWidth="1"/>
    <col min="3" max="4" width="4.6640625" style="322" customWidth="1"/>
    <col min="5" max="5" width="30.6640625" style="322" customWidth="1"/>
    <col min="6" max="6" width="15.6640625" style="322" customWidth="1"/>
    <col min="7" max="7" width="16.6640625" style="322" customWidth="1"/>
    <col min="8" max="8" width="16" style="322" customWidth="1"/>
    <col min="9" max="12" width="9.109375" style="322"/>
    <col min="13" max="13" width="10.33203125" style="322" bestFit="1" customWidth="1"/>
    <col min="14" max="16384" width="9.109375" style="322"/>
  </cols>
  <sheetData>
    <row r="3" spans="2:11" ht="22.8">
      <c r="B3" s="1549" t="s">
        <v>543</v>
      </c>
      <c r="C3" s="1549"/>
      <c r="D3" s="1549"/>
      <c r="E3" s="1549"/>
      <c r="F3" s="1549"/>
      <c r="G3" s="1549"/>
      <c r="H3" s="1549"/>
    </row>
    <row r="4" spans="2:11" ht="22.8">
      <c r="B4" s="1549" t="s">
        <v>696</v>
      </c>
      <c r="C4" s="1549"/>
      <c r="D4" s="1549"/>
      <c r="E4" s="1549"/>
      <c r="F4" s="1549"/>
      <c r="G4" s="1549"/>
      <c r="H4" s="1549"/>
    </row>
    <row r="5" spans="2:11" ht="17.399999999999999">
      <c r="B5" s="1560" t="s">
        <v>780</v>
      </c>
      <c r="C5" s="1560"/>
      <c r="D5" s="1560"/>
      <c r="E5" s="1560"/>
      <c r="F5" s="1560"/>
      <c r="G5" s="1560"/>
      <c r="H5" s="1560"/>
    </row>
    <row r="6" spans="2:11" ht="15.6">
      <c r="B6" s="1556" t="str">
        <f>'KEY INPUTS'!D44</f>
        <v>AS  AT  DECEMBER  31, 2019</v>
      </c>
      <c r="C6" s="1509"/>
      <c r="D6" s="1509"/>
      <c r="E6" s="1509"/>
      <c r="F6" s="1509"/>
      <c r="G6" s="1509"/>
      <c r="H6" s="1509"/>
    </row>
    <row r="7" spans="2:11" ht="13.8" thickBot="1"/>
    <row r="8" spans="2:11" ht="36" customHeight="1" thickTop="1" thickBot="1">
      <c r="B8" s="1553" t="s">
        <v>124</v>
      </c>
      <c r="C8" s="1553"/>
      <c r="D8" s="1553"/>
      <c r="E8" s="1553"/>
      <c r="F8" s="1554"/>
      <c r="G8" s="4" t="s">
        <v>125</v>
      </c>
      <c r="H8" s="734" t="s">
        <v>126</v>
      </c>
    </row>
    <row r="9" spans="2:11" ht="21" customHeight="1" thickTop="1">
      <c r="B9" s="854" t="s">
        <v>3531</v>
      </c>
      <c r="C9" s="839"/>
      <c r="D9" s="839"/>
      <c r="E9" s="839"/>
      <c r="F9" s="839"/>
      <c r="G9" s="840">
        <f>+'6.1-Trial Bal-Trust Fnds'!G44</f>
        <v>3157559.72</v>
      </c>
      <c r="H9" s="841">
        <f>+'6.1-Trial Bal-Trust Fnds'!H44</f>
        <v>3157559.72</v>
      </c>
      <c r="I9" s="741"/>
    </row>
    <row r="10" spans="2:11" ht="21" customHeight="1">
      <c r="B10" s="843" t="s">
        <v>3530</v>
      </c>
      <c r="C10" s="640"/>
      <c r="D10" s="640"/>
      <c r="E10" s="640"/>
      <c r="F10" s="640"/>
      <c r="G10" s="842"/>
      <c r="H10" s="663"/>
    </row>
    <row r="11" spans="2:11" ht="21" customHeight="1">
      <c r="B11" s="566"/>
      <c r="C11" s="566"/>
      <c r="D11" s="566"/>
      <c r="E11" s="566"/>
      <c r="F11" s="566"/>
      <c r="G11" s="374"/>
      <c r="H11" s="578"/>
      <c r="I11" s="741"/>
    </row>
    <row r="12" spans="2:11" ht="21" customHeight="1">
      <c r="B12" s="566"/>
      <c r="C12" s="566"/>
      <c r="D12" s="566"/>
      <c r="E12" s="566"/>
      <c r="F12" s="566"/>
      <c r="G12" s="374"/>
      <c r="H12" s="578"/>
    </row>
    <row r="13" spans="2:11" ht="21" customHeight="1">
      <c r="B13" s="566"/>
      <c r="C13" s="566"/>
      <c r="D13" s="566"/>
      <c r="E13" s="566"/>
      <c r="F13" s="566"/>
      <c r="G13" s="374"/>
      <c r="H13" s="578"/>
    </row>
    <row r="14" spans="2:11" ht="21" customHeight="1">
      <c r="B14" s="566"/>
      <c r="C14" s="566"/>
      <c r="D14" s="566"/>
      <c r="E14" s="566"/>
      <c r="F14" s="566"/>
      <c r="G14" s="374"/>
      <c r="H14" s="578"/>
      <c r="K14" s="377"/>
    </row>
    <row r="15" spans="2:11" ht="21" customHeight="1">
      <c r="B15" s="566"/>
      <c r="C15" s="566"/>
      <c r="D15" s="566"/>
      <c r="E15" s="566"/>
      <c r="F15" s="566"/>
      <c r="G15" s="374"/>
      <c r="H15" s="578"/>
    </row>
    <row r="16" spans="2:11" ht="21" customHeight="1">
      <c r="B16" s="566"/>
      <c r="C16" s="566"/>
      <c r="D16" s="566"/>
      <c r="E16" s="566"/>
      <c r="F16" s="566"/>
      <c r="G16" s="374"/>
      <c r="H16" s="578"/>
    </row>
    <row r="17" spans="2:8" ht="21" customHeight="1">
      <c r="B17" s="566"/>
      <c r="C17" s="566"/>
      <c r="D17" s="566"/>
      <c r="E17" s="566"/>
      <c r="F17" s="566"/>
      <c r="G17" s="374"/>
      <c r="H17" s="578"/>
    </row>
    <row r="18" spans="2:8" ht="21" customHeight="1">
      <c r="B18" s="566"/>
      <c r="C18" s="566"/>
      <c r="D18" s="566"/>
      <c r="E18" s="566"/>
      <c r="F18" s="566"/>
      <c r="G18" s="374"/>
      <c r="H18" s="578"/>
    </row>
    <row r="19" spans="2:8" ht="21" customHeight="1">
      <c r="B19" s="566"/>
      <c r="C19" s="566"/>
      <c r="D19" s="566"/>
      <c r="E19" s="566"/>
      <c r="F19" s="566"/>
      <c r="G19" s="374"/>
      <c r="H19" s="578"/>
    </row>
    <row r="20" spans="2:8" ht="21" customHeight="1">
      <c r="B20" s="566"/>
      <c r="C20" s="566"/>
      <c r="D20" s="566"/>
      <c r="E20" s="566"/>
      <c r="F20" s="566"/>
      <c r="G20" s="374"/>
      <c r="H20" s="578"/>
    </row>
    <row r="21" spans="2:8" ht="21" customHeight="1">
      <c r="B21" s="566"/>
      <c r="C21" s="566"/>
      <c r="D21" s="566"/>
      <c r="E21" s="566"/>
      <c r="F21" s="566"/>
      <c r="G21" s="374"/>
      <c r="H21" s="578"/>
    </row>
    <row r="22" spans="2:8" ht="21" customHeight="1">
      <c r="B22" s="566"/>
      <c r="C22" s="566"/>
      <c r="D22" s="566"/>
      <c r="E22" s="566"/>
      <c r="F22" s="566"/>
      <c r="G22" s="374"/>
      <c r="H22" s="578"/>
    </row>
    <row r="23" spans="2:8" ht="21" customHeight="1">
      <c r="B23" s="566"/>
      <c r="C23" s="566"/>
      <c r="D23" s="566"/>
      <c r="E23" s="566"/>
      <c r="F23" s="566"/>
      <c r="G23" s="374"/>
      <c r="H23" s="578"/>
    </row>
    <row r="24" spans="2:8" ht="21" customHeight="1">
      <c r="B24" s="566"/>
      <c r="C24" s="566"/>
      <c r="D24" s="566"/>
      <c r="E24" s="566"/>
      <c r="F24" s="566"/>
      <c r="G24" s="374"/>
      <c r="H24" s="578"/>
    </row>
    <row r="25" spans="2:8" ht="21" customHeight="1">
      <c r="B25" s="566"/>
      <c r="C25" s="566"/>
      <c r="D25" s="566"/>
      <c r="E25" s="566"/>
      <c r="F25" s="566"/>
      <c r="G25" s="374"/>
      <c r="H25" s="578"/>
    </row>
    <row r="26" spans="2:8" ht="21" customHeight="1">
      <c r="B26" s="566"/>
      <c r="C26" s="566"/>
      <c r="D26" s="566"/>
      <c r="E26" s="566"/>
      <c r="F26" s="566"/>
      <c r="G26" s="374"/>
      <c r="H26" s="578"/>
    </row>
    <row r="27" spans="2:8" ht="21" customHeight="1">
      <c r="B27" s="566"/>
      <c r="C27" s="566"/>
      <c r="D27" s="566"/>
      <c r="E27" s="566"/>
      <c r="F27" s="566"/>
      <c r="G27" s="374"/>
      <c r="H27" s="578"/>
    </row>
    <row r="28" spans="2:8" ht="21" customHeight="1">
      <c r="B28" s="566"/>
      <c r="C28" s="566"/>
      <c r="D28" s="566"/>
      <c r="E28" s="566"/>
      <c r="F28" s="566"/>
      <c r="G28" s="374"/>
      <c r="H28" s="578"/>
    </row>
    <row r="29" spans="2:8" ht="21" customHeight="1">
      <c r="B29" s="566"/>
      <c r="C29" s="566"/>
      <c r="D29" s="566"/>
      <c r="E29" s="566"/>
      <c r="F29" s="566"/>
      <c r="G29" s="374"/>
      <c r="H29" s="578"/>
    </row>
    <row r="30" spans="2:8" ht="21" customHeight="1">
      <c r="B30" s="566"/>
      <c r="C30" s="566"/>
      <c r="D30" s="566"/>
      <c r="E30" s="566"/>
      <c r="F30" s="566"/>
      <c r="G30" s="374"/>
      <c r="H30" s="578"/>
    </row>
    <row r="31" spans="2:8" ht="21" customHeight="1">
      <c r="B31" s="566"/>
      <c r="C31" s="566"/>
      <c r="D31" s="566"/>
      <c r="E31" s="566"/>
      <c r="F31" s="566"/>
      <c r="G31" s="374"/>
      <c r="H31" s="578"/>
    </row>
    <row r="32" spans="2:8" ht="21" customHeight="1">
      <c r="B32" s="566"/>
      <c r="C32" s="566"/>
      <c r="D32" s="566"/>
      <c r="E32" s="566"/>
      <c r="F32" s="566"/>
      <c r="G32" s="374"/>
      <c r="H32" s="578"/>
    </row>
    <row r="33" spans="2:13" ht="21" customHeight="1">
      <c r="B33" s="566"/>
      <c r="C33" s="566"/>
      <c r="D33" s="566"/>
      <c r="E33" s="566"/>
      <c r="F33" s="566"/>
      <c r="G33" s="374"/>
      <c r="H33" s="578"/>
      <c r="M33" s="325"/>
    </row>
    <row r="34" spans="2:13" ht="21" customHeight="1">
      <c r="B34" s="566"/>
      <c r="C34" s="566"/>
      <c r="D34" s="566"/>
      <c r="E34" s="566"/>
      <c r="F34" s="566"/>
      <c r="G34" s="374"/>
      <c r="H34" s="578"/>
    </row>
    <row r="35" spans="2:13" ht="21" customHeight="1">
      <c r="B35" s="566"/>
      <c r="C35" s="566"/>
      <c r="D35" s="566"/>
      <c r="E35" s="566"/>
      <c r="F35" s="566"/>
      <c r="G35" s="374"/>
      <c r="H35" s="578"/>
    </row>
    <row r="36" spans="2:13" ht="21" customHeight="1">
      <c r="B36" s="566"/>
      <c r="C36" s="566"/>
      <c r="D36" s="566"/>
      <c r="E36" s="566"/>
      <c r="F36" s="566"/>
      <c r="G36" s="374"/>
      <c r="H36" s="578"/>
    </row>
    <row r="37" spans="2:13" ht="21" customHeight="1">
      <c r="B37" s="566"/>
      <c r="C37" s="566"/>
      <c r="D37" s="566"/>
      <c r="E37" s="566"/>
      <c r="F37" s="566"/>
      <c r="G37" s="374"/>
      <c r="H37" s="578"/>
    </row>
    <row r="38" spans="2:13" ht="21" customHeight="1">
      <c r="B38" s="566"/>
      <c r="C38" s="566"/>
      <c r="D38" s="566"/>
      <c r="E38" s="566"/>
      <c r="F38" s="566"/>
      <c r="G38" s="374"/>
      <c r="H38" s="578"/>
    </row>
    <row r="39" spans="2:13" ht="21" customHeight="1">
      <c r="B39" s="566"/>
      <c r="C39" s="566"/>
      <c r="D39" s="566"/>
      <c r="E39" s="566"/>
      <c r="F39" s="566"/>
      <c r="G39" s="374"/>
      <c r="H39" s="578"/>
    </row>
    <row r="40" spans="2:13" ht="21" customHeight="1">
      <c r="B40" s="566"/>
      <c r="C40" s="566"/>
      <c r="D40" s="566"/>
      <c r="E40" s="566"/>
      <c r="F40" s="566"/>
      <c r="G40" s="374"/>
      <c r="H40" s="578"/>
    </row>
    <row r="41" spans="2:13" ht="21" customHeight="1">
      <c r="B41" s="566"/>
      <c r="C41" s="566"/>
      <c r="D41" s="566"/>
      <c r="E41" s="566"/>
      <c r="F41" s="566"/>
      <c r="G41" s="374"/>
      <c r="H41" s="578"/>
    </row>
    <row r="42" spans="2:13" ht="21" customHeight="1">
      <c r="B42" s="566"/>
      <c r="C42" s="566"/>
      <c r="D42" s="566"/>
      <c r="E42" s="566"/>
      <c r="F42" s="566"/>
      <c r="G42" s="374"/>
      <c r="H42" s="578"/>
    </row>
    <row r="43" spans="2:13" ht="21" customHeight="1">
      <c r="B43" s="566"/>
      <c r="C43" s="566"/>
      <c r="D43" s="566"/>
      <c r="E43" s="566"/>
      <c r="F43" s="566"/>
      <c r="G43" s="374"/>
      <c r="H43" s="578"/>
    </row>
    <row r="44" spans="2:13" ht="21" customHeight="1">
      <c r="B44" s="843" t="s">
        <v>1000</v>
      </c>
      <c r="C44" s="640"/>
      <c r="D44" s="640"/>
      <c r="E44" s="640"/>
      <c r="F44" s="640"/>
      <c r="G44" s="842">
        <f>SUM(G9:G43)</f>
        <v>3157559.72</v>
      </c>
      <c r="H44" s="851">
        <f>SUM(H9:H43)</f>
        <v>3157559.72</v>
      </c>
    </row>
    <row r="45" spans="2:13">
      <c r="B45" s="1561" t="s">
        <v>127</v>
      </c>
      <c r="C45" s="1561"/>
      <c r="D45" s="1561"/>
      <c r="E45" s="1561"/>
      <c r="F45" s="1561"/>
      <c r="G45" s="1561"/>
      <c r="H45" s="1561"/>
    </row>
    <row r="46" spans="2:13">
      <c r="B46" s="961"/>
      <c r="C46" s="961"/>
      <c r="D46" s="961"/>
      <c r="E46" s="961"/>
      <c r="F46" s="961"/>
      <c r="G46" s="961"/>
      <c r="H46" s="961"/>
    </row>
    <row r="47" spans="2:13">
      <c r="B47" s="853"/>
      <c r="C47" s="853"/>
      <c r="D47" s="853"/>
      <c r="E47" s="853"/>
      <c r="F47" s="853"/>
      <c r="G47" s="853"/>
      <c r="H47" s="853"/>
    </row>
    <row r="48" spans="2:13" ht="13.8">
      <c r="B48" s="1562" t="s">
        <v>3533</v>
      </c>
      <c r="C48" s="1562"/>
      <c r="D48" s="1562"/>
      <c r="E48" s="1562"/>
      <c r="F48" s="1562"/>
      <c r="G48" s="1562"/>
      <c r="H48" s="1562"/>
    </row>
  </sheetData>
  <sheetProtection algorithmName="SHA-512" hashValue="zqAzMUQqXFbBXhT1xRg1PC11uVdpRRj+nQroaxnGsY82uGnfLnf868hf+idWmAWfJfFlenO8XyA4S8UsSK5z5w==" saltValue="yD9lypS4n64Wjj/xLwwalg==" spinCount="100000" sheet="1" objects="1" scenarios="1"/>
  <customSheetViews>
    <customSheetView guid="{AC653BD0-46E3-42CB-9C76-32121A57B65A}" state="hidden">
      <selection activeCell="B1" sqref="B1"/>
      <pageMargins left="0.25" right="0.25" top="0.5" bottom="0.5" header="0.25" footer="0.25"/>
      <pageSetup paperSize="5" orientation="portrait" r:id="rId1"/>
      <headerFooter alignWithMargins="0"/>
    </customSheetView>
    <customSheetView guid="{B165479B-DC25-403C-9595-F1A88A4AA9A2}" state="hidden">
      <selection activeCell="B1" sqref="B1"/>
      <pageMargins left="0.25" right="0.25" top="0.5" bottom="0.5" header="0.25" footer="0.25"/>
      <pageSetup paperSize="5" orientation="portrait" r:id="rId2"/>
      <headerFooter alignWithMargins="0"/>
    </customSheetView>
    <customSheetView guid="{A64E4C9E-A3DA-4AAA-8607-F524450B9436}" state="hidden">
      <selection activeCell="B1" sqref="B1"/>
      <pageMargins left="0.25" right="0.25" top="0.5" bottom="0.5" header="0.25" footer="0.25"/>
      <pageSetup paperSize="5" orientation="portrait" r:id="rId3"/>
      <headerFooter alignWithMargins="0"/>
    </customSheetView>
    <customSheetView guid="{AB4FBD91-4533-473A-9702-569FF6402073}" state="hidden">
      <selection activeCell="B1" sqref="B1"/>
      <pageMargins left="0.25" right="0.25" top="0.5" bottom="0.5" header="0.25" footer="0.25"/>
      <pageSetup paperSize="5" orientation="portrait" r:id="rId4"/>
      <headerFooter alignWithMargins="0"/>
    </customSheetView>
  </customSheetViews>
  <mergeCells count="7">
    <mergeCell ref="B48:H48"/>
    <mergeCell ref="B3:H3"/>
    <mergeCell ref="B4:H4"/>
    <mergeCell ref="B5:H5"/>
    <mergeCell ref="B6:H6"/>
    <mergeCell ref="B8:F8"/>
    <mergeCell ref="B45:H45"/>
  </mergeCells>
  <pageMargins left="0.25" right="0.25" top="0.5" bottom="0.5" header="0.25" footer="0.25"/>
  <pageSetup paperSize="5" orientation="portrait" r:id="rId5"/>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69">
    <tabColor theme="6" tint="0.39997558519241921"/>
  </sheetPr>
  <dimension ref="A1:T29"/>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1.5546875" style="331" customWidth="1"/>
    <col min="5" max="12" width="15.6640625" style="331" customWidth="1"/>
    <col min="13" max="16384" width="9.109375" style="331"/>
  </cols>
  <sheetData>
    <row r="1" spans="1:20">
      <c r="B1" s="1146"/>
      <c r="C1" s="1146"/>
      <c r="D1" s="1146"/>
      <c r="E1" s="1146"/>
      <c r="F1" s="1146"/>
      <c r="G1" s="1146"/>
      <c r="H1" s="1146"/>
      <c r="I1" s="1146"/>
      <c r="J1" s="1146"/>
      <c r="K1" s="1146"/>
      <c r="L1" s="1146"/>
    </row>
    <row r="2" spans="1:20" ht="20.399999999999999">
      <c r="B2" s="1788" t="str">
        <f>"DEBT  SERVICE  SCHEDULE  FOR  "&amp;UPPER('KEY INPUTS'!D52) &amp;"  UTILITY  ASSESSMENT  NOTES"</f>
        <v>DEBT  SERVICE  SCHEDULE  FOR    UTILITY  ASSESSMENT  NOTES</v>
      </c>
      <c r="C2" s="1788"/>
      <c r="D2" s="1788"/>
      <c r="E2" s="1788"/>
      <c r="F2" s="1788"/>
      <c r="G2" s="1788"/>
      <c r="H2" s="1788"/>
      <c r="I2" s="1788"/>
      <c r="J2" s="1788"/>
      <c r="K2" s="1788"/>
      <c r="L2" s="1788"/>
    </row>
    <row r="3" spans="1:20" ht="21" thickBot="1">
      <c r="B3" s="1870"/>
      <c r="C3" s="1870"/>
      <c r="D3" s="1870"/>
      <c r="E3" s="1870"/>
      <c r="F3" s="1870"/>
      <c r="G3" s="1870"/>
      <c r="H3" s="1870"/>
      <c r="I3" s="1870"/>
      <c r="J3" s="1870"/>
      <c r="K3" s="1870"/>
      <c r="L3" s="1870"/>
    </row>
    <row r="4" spans="1:20" ht="13.5" customHeight="1" thickTop="1">
      <c r="B4" s="1872"/>
      <c r="C4" s="1872"/>
      <c r="D4" s="1873"/>
      <c r="E4" s="1238"/>
      <c r="F4" s="1143"/>
      <c r="G4" s="1143"/>
      <c r="H4" s="1143"/>
      <c r="I4" s="1143"/>
      <c r="J4" s="1142"/>
      <c r="K4" s="1142"/>
      <c r="L4" s="1145"/>
    </row>
    <row r="5" spans="1:20" ht="13.5" customHeight="1">
      <c r="B5" s="1146"/>
      <c r="C5" s="1146"/>
      <c r="D5" s="1146"/>
      <c r="E5" s="1147" t="s">
        <v>176</v>
      </c>
      <c r="F5" s="1151" t="s">
        <v>176</v>
      </c>
      <c r="G5" s="1151" t="s">
        <v>533</v>
      </c>
      <c r="H5" s="1151" t="s">
        <v>18</v>
      </c>
      <c r="I5" s="1151" t="s">
        <v>684</v>
      </c>
      <c r="J5" s="1866">
        <f>'KEY INPUTS'!D33</f>
        <v>2020</v>
      </c>
      <c r="K5" s="1867"/>
      <c r="L5" s="1149" t="s">
        <v>685</v>
      </c>
    </row>
    <row r="6" spans="1:20" ht="13.5" customHeight="1">
      <c r="B6" s="1146"/>
      <c r="C6" s="1787" t="s">
        <v>175</v>
      </c>
      <c r="D6" s="1871"/>
      <c r="E6" s="1147" t="s">
        <v>533</v>
      </c>
      <c r="F6" s="1151" t="s">
        <v>177</v>
      </c>
      <c r="G6" s="1151" t="s">
        <v>681</v>
      </c>
      <c r="H6" s="1151" t="s">
        <v>682</v>
      </c>
      <c r="I6" s="1151" t="s">
        <v>682</v>
      </c>
      <c r="J6" s="1868"/>
      <c r="K6" s="1869"/>
      <c r="L6" s="1149" t="s">
        <v>688</v>
      </c>
    </row>
    <row r="7" spans="1:20" ht="13.5" customHeight="1">
      <c r="B7" s="1146"/>
      <c r="C7" s="1146"/>
      <c r="D7" s="1146"/>
      <c r="E7" s="1147" t="s">
        <v>113</v>
      </c>
      <c r="F7" s="1147" t="s">
        <v>178</v>
      </c>
      <c r="G7" s="1147" t="s">
        <v>257</v>
      </c>
      <c r="H7" s="1147" t="s">
        <v>683</v>
      </c>
      <c r="I7" s="1147" t="s">
        <v>685</v>
      </c>
      <c r="J7" s="1147" t="s">
        <v>142</v>
      </c>
      <c r="K7" s="1147" t="s">
        <v>686</v>
      </c>
      <c r="L7" s="1149" t="s">
        <v>689</v>
      </c>
      <c r="N7" s="322"/>
      <c r="O7" s="322"/>
      <c r="P7" s="322"/>
      <c r="Q7" s="322"/>
      <c r="R7" s="322"/>
      <c r="S7" s="322"/>
      <c r="T7" s="322"/>
    </row>
    <row r="8" spans="1:20" ht="13.5" customHeight="1" thickBot="1">
      <c r="B8" s="1153"/>
      <c r="C8" s="1153"/>
      <c r="D8" s="1153"/>
      <c r="E8" s="1154"/>
      <c r="F8" s="1154"/>
      <c r="G8" s="1247" t="str">
        <f>'KEY INPUTS'!D46</f>
        <v>Dec. 31, 2019</v>
      </c>
      <c r="H8" s="1154"/>
      <c r="I8" s="1154"/>
      <c r="J8" s="1155"/>
      <c r="K8" s="1255" t="s">
        <v>687</v>
      </c>
      <c r="L8" s="1157"/>
      <c r="N8" s="322"/>
      <c r="O8" s="322"/>
      <c r="P8" s="322"/>
      <c r="Q8" s="322"/>
      <c r="R8" s="322"/>
      <c r="S8" s="322"/>
      <c r="T8" s="322"/>
    </row>
    <row r="9" spans="1:20" ht="21" customHeight="1" thickTop="1">
      <c r="B9" s="1874"/>
      <c r="C9" s="1874"/>
      <c r="D9" s="1875"/>
      <c r="E9" s="618"/>
      <c r="F9" s="697"/>
      <c r="G9" s="618"/>
      <c r="H9" s="618"/>
      <c r="I9" s="620"/>
      <c r="J9" s="618"/>
      <c r="K9" s="618"/>
      <c r="L9" s="698"/>
      <c r="N9" s="377"/>
      <c r="O9" s="322"/>
      <c r="P9" s="322"/>
      <c r="Q9" s="322"/>
      <c r="R9" s="322"/>
      <c r="S9" s="322"/>
      <c r="T9" s="322"/>
    </row>
    <row r="10" spans="1:20" ht="21" customHeight="1">
      <c r="B10" s="1876"/>
      <c r="C10" s="1876"/>
      <c r="D10" s="1877"/>
      <c r="E10" s="601"/>
      <c r="F10" s="685"/>
      <c r="G10" s="601"/>
      <c r="H10" s="601"/>
      <c r="I10" s="623"/>
      <c r="J10" s="601"/>
      <c r="K10" s="601"/>
      <c r="L10" s="699"/>
      <c r="N10" s="322"/>
      <c r="O10" s="322"/>
      <c r="P10" s="322"/>
      <c r="Q10" s="322"/>
      <c r="R10" s="322"/>
      <c r="S10" s="322"/>
      <c r="T10" s="322"/>
    </row>
    <row r="11" spans="1:20" ht="21" customHeight="1">
      <c r="B11" s="1876"/>
      <c r="C11" s="1876"/>
      <c r="D11" s="1877"/>
      <c r="E11" s="601"/>
      <c r="F11" s="685"/>
      <c r="G11" s="601"/>
      <c r="H11" s="601"/>
      <c r="I11" s="623"/>
      <c r="J11" s="601"/>
      <c r="K11" s="601"/>
      <c r="L11" s="699"/>
      <c r="N11" s="322"/>
      <c r="O11" s="322"/>
      <c r="P11" s="322"/>
      <c r="Q11" s="322"/>
      <c r="R11" s="322"/>
      <c r="S11" s="322"/>
      <c r="T11" s="322"/>
    </row>
    <row r="12" spans="1:20" ht="21" customHeight="1">
      <c r="B12" s="1876"/>
      <c r="C12" s="1876"/>
      <c r="D12" s="1877"/>
      <c r="E12" s="601"/>
      <c r="F12" s="685"/>
      <c r="G12" s="601"/>
      <c r="H12" s="601"/>
      <c r="I12" s="623"/>
      <c r="J12" s="601"/>
      <c r="K12" s="601"/>
      <c r="L12" s="699"/>
      <c r="N12" s="322"/>
      <c r="O12" s="322"/>
      <c r="P12" s="322"/>
      <c r="Q12" s="322"/>
      <c r="R12" s="322"/>
      <c r="S12" s="322"/>
      <c r="T12" s="322"/>
    </row>
    <row r="13" spans="1:20" ht="21" customHeight="1">
      <c r="B13" s="1876"/>
      <c r="C13" s="1876"/>
      <c r="D13" s="1877"/>
      <c r="E13" s="601"/>
      <c r="F13" s="685"/>
      <c r="G13" s="601"/>
      <c r="H13" s="601"/>
      <c r="I13" s="623"/>
      <c r="J13" s="601"/>
      <c r="K13" s="601"/>
      <c r="L13" s="699"/>
      <c r="N13" s="322"/>
      <c r="O13" s="322"/>
      <c r="P13" s="322"/>
      <c r="Q13" s="322"/>
      <c r="R13" s="322"/>
      <c r="S13" s="322"/>
      <c r="T13" s="322"/>
    </row>
    <row r="14" spans="1:20" ht="21" customHeight="1">
      <c r="B14" s="1876"/>
      <c r="C14" s="1876"/>
      <c r="D14" s="1877"/>
      <c r="E14" s="604"/>
      <c r="F14" s="686"/>
      <c r="G14" s="604"/>
      <c r="H14" s="604"/>
      <c r="I14" s="626"/>
      <c r="J14" s="601"/>
      <c r="K14" s="601"/>
      <c r="L14" s="699"/>
      <c r="N14" s="322"/>
      <c r="O14" s="322"/>
      <c r="P14" s="322"/>
      <c r="Q14" s="322"/>
      <c r="R14" s="322"/>
      <c r="S14" s="322"/>
      <c r="T14" s="322"/>
    </row>
    <row r="15" spans="1:20" ht="21" customHeight="1">
      <c r="A15" s="1792" t="s">
        <v>3447</v>
      </c>
      <c r="B15" s="1876"/>
      <c r="C15" s="1876"/>
      <c r="D15" s="1877"/>
      <c r="E15" s="601"/>
      <c r="F15" s="685"/>
      <c r="G15" s="601"/>
      <c r="H15" s="601"/>
      <c r="I15" s="623"/>
      <c r="J15" s="601"/>
      <c r="K15" s="601"/>
      <c r="L15" s="699"/>
      <c r="N15" s="322"/>
      <c r="O15" s="322"/>
      <c r="P15" s="322"/>
      <c r="Q15" s="322"/>
      <c r="R15" s="322"/>
      <c r="S15" s="322"/>
      <c r="T15" s="322"/>
    </row>
    <row r="16" spans="1:20" ht="21" customHeight="1">
      <c r="A16" s="1792"/>
      <c r="B16" s="1876"/>
      <c r="C16" s="1876"/>
      <c r="D16" s="1877"/>
      <c r="E16" s="601"/>
      <c r="F16" s="685"/>
      <c r="G16" s="601"/>
      <c r="H16" s="601"/>
      <c r="I16" s="623"/>
      <c r="J16" s="601"/>
      <c r="K16" s="601"/>
      <c r="L16" s="699"/>
      <c r="N16" s="322"/>
      <c r="O16" s="322"/>
      <c r="P16" s="322"/>
      <c r="Q16" s="322"/>
      <c r="R16" s="322"/>
      <c r="S16" s="322"/>
      <c r="T16" s="322"/>
    </row>
    <row r="17" spans="1:20" ht="21" customHeight="1">
      <c r="A17" s="1792"/>
      <c r="B17" s="1876"/>
      <c r="C17" s="1876"/>
      <c r="D17" s="1877"/>
      <c r="E17" s="601"/>
      <c r="F17" s="685"/>
      <c r="G17" s="601"/>
      <c r="H17" s="601"/>
      <c r="I17" s="623"/>
      <c r="J17" s="601"/>
      <c r="K17" s="601"/>
      <c r="L17" s="699"/>
      <c r="N17" s="322"/>
      <c r="O17" s="322"/>
      <c r="P17" s="322"/>
      <c r="Q17" s="322"/>
      <c r="R17" s="322"/>
      <c r="S17" s="322"/>
      <c r="T17" s="322"/>
    </row>
    <row r="18" spans="1:20" ht="21" customHeight="1">
      <c r="A18" s="545"/>
      <c r="B18" s="1876"/>
      <c r="C18" s="1876"/>
      <c r="D18" s="1877"/>
      <c r="E18" s="601"/>
      <c r="F18" s="685"/>
      <c r="G18" s="601"/>
      <c r="H18" s="601"/>
      <c r="I18" s="623"/>
      <c r="J18" s="601"/>
      <c r="K18" s="601"/>
      <c r="L18" s="699"/>
      <c r="N18" s="322"/>
      <c r="O18" s="322"/>
      <c r="P18" s="322"/>
      <c r="Q18" s="322"/>
      <c r="R18" s="322"/>
      <c r="S18" s="322"/>
      <c r="T18" s="322"/>
    </row>
    <row r="19" spans="1:20" ht="21" customHeight="1">
      <c r="B19" s="1876"/>
      <c r="C19" s="1876"/>
      <c r="D19" s="1877"/>
      <c r="E19" s="601"/>
      <c r="F19" s="685"/>
      <c r="G19" s="601"/>
      <c r="H19" s="601"/>
      <c r="I19" s="623"/>
      <c r="J19" s="601"/>
      <c r="K19" s="601"/>
      <c r="L19" s="699"/>
      <c r="N19" s="322"/>
      <c r="O19" s="322"/>
      <c r="P19" s="322"/>
      <c r="Q19" s="322"/>
      <c r="R19" s="322"/>
      <c r="S19" s="322"/>
      <c r="T19" s="322"/>
    </row>
    <row r="20" spans="1:20" ht="21" customHeight="1">
      <c r="B20" s="1876"/>
      <c r="C20" s="1876"/>
      <c r="D20" s="1877"/>
      <c r="E20" s="601"/>
      <c r="F20" s="685"/>
      <c r="G20" s="601"/>
      <c r="H20" s="601"/>
      <c r="I20" s="623"/>
      <c r="J20" s="601"/>
      <c r="K20" s="601"/>
      <c r="L20" s="699"/>
      <c r="N20" s="322"/>
      <c r="O20" s="322"/>
      <c r="P20" s="322"/>
      <c r="Q20" s="322"/>
      <c r="R20" s="322"/>
      <c r="S20" s="322"/>
      <c r="T20" s="322"/>
    </row>
    <row r="21" spans="1:20" ht="21" customHeight="1">
      <c r="B21" s="1876"/>
      <c r="C21" s="1876"/>
      <c r="D21" s="1877"/>
      <c r="E21" s="601"/>
      <c r="F21" s="685"/>
      <c r="G21" s="601"/>
      <c r="H21" s="601"/>
      <c r="I21" s="623"/>
      <c r="J21" s="601"/>
      <c r="K21" s="601"/>
      <c r="L21" s="699"/>
      <c r="N21" s="322"/>
      <c r="O21" s="322"/>
      <c r="P21" s="322"/>
      <c r="Q21" s="322"/>
      <c r="R21" s="322"/>
      <c r="S21" s="322"/>
      <c r="T21" s="322"/>
    </row>
    <row r="22" spans="1:20" ht="21" customHeight="1">
      <c r="B22" s="1876"/>
      <c r="C22" s="1876"/>
      <c r="D22" s="1877"/>
      <c r="E22" s="601"/>
      <c r="F22" s="685"/>
      <c r="G22" s="601"/>
      <c r="H22" s="601"/>
      <c r="I22" s="623"/>
      <c r="J22" s="601"/>
      <c r="K22" s="601"/>
      <c r="L22" s="699"/>
      <c r="N22" s="322"/>
      <c r="O22" s="322"/>
      <c r="P22" s="322"/>
      <c r="Q22" s="322"/>
      <c r="R22" s="322"/>
      <c r="S22" s="322"/>
      <c r="T22" s="322"/>
    </row>
    <row r="23" spans="1:20" ht="21" customHeight="1" thickBot="1">
      <c r="B23" s="1256"/>
      <c r="C23" s="1232"/>
      <c r="D23" s="1257"/>
      <c r="E23" s="1131">
        <f>SUM(E9:E22)</f>
        <v>0</v>
      </c>
      <c r="F23" s="1246"/>
      <c r="G23" s="1131">
        <f>SUM(G9:G22)</f>
        <v>0</v>
      </c>
      <c r="H23" s="1131"/>
      <c r="I23" s="1131"/>
      <c r="J23" s="1131">
        <f>SUM(J9:J22)</f>
        <v>0</v>
      </c>
      <c r="K23" s="1131">
        <f>SUM(K9:K22)</f>
        <v>0</v>
      </c>
      <c r="L23" s="1258"/>
      <c r="N23" s="322"/>
      <c r="O23" s="322"/>
      <c r="P23" s="322"/>
      <c r="Q23" s="322"/>
      <c r="R23" s="322"/>
      <c r="S23" s="322"/>
      <c r="T23" s="322"/>
    </row>
    <row r="24" spans="1:20" ht="13.5" customHeight="1" thickTop="1">
      <c r="B24" s="1259" t="s">
        <v>44</v>
      </c>
      <c r="C24" s="1260"/>
      <c r="D24" s="1261"/>
      <c r="E24" s="1262"/>
      <c r="F24" s="1262"/>
      <c r="G24" s="1262"/>
      <c r="H24" s="1262"/>
      <c r="I24" s="1262"/>
      <c r="J24" s="1263"/>
      <c r="K24" s="1263"/>
      <c r="L24" s="1262"/>
    </row>
    <row r="25" spans="1:20" ht="13.5" customHeight="1">
      <c r="B25" s="1259" t="s">
        <v>693</v>
      </c>
      <c r="C25" s="1260"/>
      <c r="D25" s="1261"/>
      <c r="E25" s="1262"/>
      <c r="F25" s="1262"/>
      <c r="G25" s="1262"/>
      <c r="H25" s="1262"/>
      <c r="I25" s="1262"/>
      <c r="J25" s="1262"/>
      <c r="K25" s="1262"/>
      <c r="L25" s="1262"/>
    </row>
    <row r="26" spans="1:20" ht="13.5" customHeight="1">
      <c r="B26" s="1259"/>
      <c r="C26" s="1260" t="str">
        <f>"Utility Assessment Notes with an original date of issue of December 31, 2016 "&amp;" or prior must be appropriated in full in the "&amp;TEXT('KEY INPUTS'!D34+1,"0")&amp;" Dedicated Utility Assessment Budget or written intent of"</f>
        <v>Utility Assessment Notes with an original date of issue of December 31, 2016  or prior must be appropriated in full in the 2020 Dedicated Utility Assessment Budget or written intent of</v>
      </c>
      <c r="D26" s="1261"/>
      <c r="E26" s="1262"/>
      <c r="F26" s="1262"/>
      <c r="G26" s="1262"/>
      <c r="H26" s="1262"/>
      <c r="I26" s="1262"/>
      <c r="J26" s="1262"/>
      <c r="K26" s="1262"/>
      <c r="L26" s="1262"/>
    </row>
    <row r="27" spans="1:20" ht="13.5" customHeight="1">
      <c r="B27" s="1259"/>
      <c r="C27" s="1260"/>
      <c r="D27" s="1264" t="s">
        <v>644</v>
      </c>
      <c r="E27" s="1262"/>
      <c r="F27" s="1262"/>
      <c r="G27" s="1262"/>
      <c r="H27" s="1262"/>
      <c r="I27" s="1262"/>
      <c r="J27" s="1262"/>
      <c r="K27" s="1262"/>
      <c r="L27" s="1262"/>
    </row>
    <row r="28" spans="1:20" ht="13.5" customHeight="1">
      <c r="B28" s="1259"/>
      <c r="C28" s="1260" t="s">
        <v>394</v>
      </c>
      <c r="D28" s="1261"/>
      <c r="E28" s="1262"/>
      <c r="F28" s="1262"/>
      <c r="G28" s="1262"/>
      <c r="H28" s="1262"/>
      <c r="I28" s="1262"/>
      <c r="J28" s="1265"/>
      <c r="K28" s="1262"/>
      <c r="L28" s="1262"/>
    </row>
    <row r="29" spans="1:20">
      <c r="B29" s="541"/>
      <c r="C29" s="411"/>
      <c r="D29" s="411"/>
    </row>
  </sheetData>
  <sheetProtection algorithmName="SHA-512" hashValue="WqyAG/hbyxngR+luW0zoSZ62Gh2H4toxtUNOIJeZRo9+UeT+yy58ZsmobGnQx3I90j+jGcXW2UO4IP/Q8Hh8jA==" saltValue="y9FLXALlys2N/dg31hRwCQ=="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20">
    <mergeCell ref="B18:D18"/>
    <mergeCell ref="B19:D19"/>
    <mergeCell ref="B20:D20"/>
    <mergeCell ref="B21:D21"/>
    <mergeCell ref="B22:D22"/>
    <mergeCell ref="B2:L2"/>
    <mergeCell ref="B3:L3"/>
    <mergeCell ref="A15:A17"/>
    <mergeCell ref="C6:D6"/>
    <mergeCell ref="J5:K6"/>
    <mergeCell ref="B4:D4"/>
    <mergeCell ref="B9:D9"/>
    <mergeCell ref="B10:D10"/>
    <mergeCell ref="B11:D11"/>
    <mergeCell ref="B12:D12"/>
    <mergeCell ref="B13:D13"/>
    <mergeCell ref="B14:D14"/>
    <mergeCell ref="B15:D15"/>
    <mergeCell ref="B16:D16"/>
    <mergeCell ref="B17:D17"/>
  </mergeCells>
  <pageMargins left="0.25" right="0.25" top="0.5" bottom="0.5" header="0.25" footer="0.25"/>
  <pageSetup paperSize="5" orientation="landscape" r:id="rId5"/>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0">
    <tabColor theme="6" tint="0.39997558519241921"/>
  </sheetPr>
  <dimension ref="A1:R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5.88671875" style="331" customWidth="1"/>
    <col min="5" max="6" width="15.6640625" style="331" customWidth="1"/>
    <col min="7" max="9" width="30.6640625" style="331" customWidth="1"/>
    <col min="10" max="16384" width="9.109375" style="331"/>
  </cols>
  <sheetData>
    <row r="1" spans="1:18">
      <c r="B1" s="1146"/>
      <c r="C1" s="1146"/>
      <c r="D1" s="1146"/>
      <c r="E1" s="1146"/>
      <c r="F1" s="1146"/>
      <c r="G1" s="1146"/>
      <c r="H1" s="1146"/>
      <c r="I1" s="1146"/>
    </row>
    <row r="2" spans="1:18" ht="20.399999999999999">
      <c r="B2" s="1788" t="str">
        <f>"SCHEDULE  OF  CAPITAL  LEASE  PROGRAM  OBLIGATIONS "&amp;UPPER('KEY INPUTS'!D52)&amp;"  UTILITY"</f>
        <v>SCHEDULE  OF  CAPITAL  LEASE  PROGRAM  OBLIGATIONS   UTILITY</v>
      </c>
      <c r="C2" s="1788"/>
      <c r="D2" s="1788"/>
      <c r="E2" s="1788"/>
      <c r="F2" s="1788"/>
      <c r="G2" s="1788"/>
      <c r="H2" s="1788"/>
      <c r="I2" s="1788"/>
    </row>
    <row r="3" spans="1:18" ht="21" thickBot="1">
      <c r="B3" s="1870"/>
      <c r="C3" s="1870"/>
      <c r="D3" s="1870"/>
      <c r="E3" s="1870"/>
      <c r="F3" s="1870"/>
      <c r="G3" s="1870"/>
      <c r="H3" s="1870"/>
      <c r="I3" s="1870"/>
    </row>
    <row r="4" spans="1:18" ht="13.5" customHeight="1" thickTop="1">
      <c r="B4" s="1872"/>
      <c r="C4" s="1872"/>
      <c r="D4" s="1872"/>
      <c r="E4" s="1872"/>
      <c r="F4" s="1873"/>
      <c r="G4" s="1266"/>
      <c r="H4" s="1142"/>
      <c r="I4" s="1267"/>
    </row>
    <row r="5" spans="1:18" ht="13.5" customHeight="1">
      <c r="B5" s="1146"/>
      <c r="C5" s="1146"/>
      <c r="D5" s="1146"/>
      <c r="E5" s="1268"/>
      <c r="F5" s="1268"/>
      <c r="G5" s="1151" t="s">
        <v>533</v>
      </c>
      <c r="H5" s="1866" t="str">
        <f>'KEY INPUTS'!D34+1&amp;" Budget Requirements"</f>
        <v>2020 Budget Requirements</v>
      </c>
      <c r="I5" s="1879"/>
      <c r="J5" s="774"/>
    </row>
    <row r="6" spans="1:18" ht="13.5" customHeight="1">
      <c r="B6" s="1146"/>
      <c r="C6" s="1787" t="s">
        <v>532</v>
      </c>
      <c r="D6" s="1878"/>
      <c r="E6" s="1268"/>
      <c r="F6" s="1268"/>
      <c r="G6" s="1151" t="s">
        <v>549</v>
      </c>
      <c r="H6" s="1880"/>
      <c r="I6" s="1881"/>
      <c r="J6" s="774"/>
    </row>
    <row r="7" spans="1:18" ht="13.5" customHeight="1">
      <c r="B7" s="1146"/>
      <c r="C7" s="1146"/>
      <c r="D7" s="1146"/>
      <c r="E7" s="1268"/>
      <c r="F7" s="1271"/>
      <c r="G7" s="1272" t="str">
        <f>'KEY INPUTS'!D46</f>
        <v>Dec. 31, 2019</v>
      </c>
      <c r="H7" s="1147" t="s">
        <v>3449</v>
      </c>
      <c r="I7" s="1149" t="s">
        <v>550</v>
      </c>
      <c r="L7" s="322"/>
      <c r="M7" s="322"/>
      <c r="N7" s="322"/>
      <c r="O7" s="322"/>
      <c r="P7" s="322"/>
      <c r="Q7" s="322"/>
      <c r="R7" s="322"/>
    </row>
    <row r="8" spans="1:18" ht="13.5" customHeight="1" thickBot="1">
      <c r="B8" s="1153"/>
      <c r="C8" s="1153"/>
      <c r="D8" s="1153"/>
      <c r="E8" s="1153"/>
      <c r="F8" s="1273"/>
      <c r="G8" s="1274"/>
      <c r="H8" s="1155"/>
      <c r="I8" s="1275"/>
      <c r="L8" s="322"/>
      <c r="M8" s="322"/>
      <c r="N8" s="322"/>
      <c r="O8" s="322"/>
      <c r="P8" s="322"/>
      <c r="Q8" s="322"/>
      <c r="R8" s="322"/>
    </row>
    <row r="9" spans="1:18" ht="21" customHeight="1" thickTop="1">
      <c r="B9" s="1882"/>
      <c r="C9" s="1882"/>
      <c r="D9" s="1882"/>
      <c r="E9" s="1882"/>
      <c r="F9" s="1883"/>
      <c r="G9" s="629"/>
      <c r="H9" s="618"/>
      <c r="I9" s="630"/>
      <c r="L9" s="377"/>
      <c r="M9" s="322"/>
      <c r="N9" s="322"/>
      <c r="O9" s="322"/>
      <c r="P9" s="322"/>
      <c r="Q9" s="322"/>
      <c r="R9" s="322"/>
    </row>
    <row r="10" spans="1:18" ht="21" customHeight="1">
      <c r="B10" s="1876"/>
      <c r="C10" s="1876"/>
      <c r="D10" s="1876"/>
      <c r="E10" s="1876"/>
      <c r="F10" s="1877"/>
      <c r="G10" s="631"/>
      <c r="H10" s="601"/>
      <c r="I10" s="602"/>
      <c r="L10" s="322"/>
      <c r="M10" s="322"/>
      <c r="N10" s="322"/>
      <c r="O10" s="322"/>
      <c r="P10" s="322"/>
      <c r="Q10" s="322"/>
      <c r="R10" s="322"/>
    </row>
    <row r="11" spans="1:18" ht="21" customHeight="1">
      <c r="B11" s="1876"/>
      <c r="C11" s="1876"/>
      <c r="D11" s="1876"/>
      <c r="E11" s="1876"/>
      <c r="F11" s="1877"/>
      <c r="G11" s="631"/>
      <c r="H11" s="601"/>
      <c r="I11" s="602"/>
      <c r="L11" s="322"/>
      <c r="M11" s="322"/>
      <c r="N11" s="322"/>
      <c r="O11" s="322"/>
      <c r="P11" s="322"/>
      <c r="Q11" s="322"/>
      <c r="R11" s="322"/>
    </row>
    <row r="12" spans="1:18" ht="21" customHeight="1">
      <c r="B12" s="1876"/>
      <c r="C12" s="1876"/>
      <c r="D12" s="1876"/>
      <c r="E12" s="1876"/>
      <c r="F12" s="1877"/>
      <c r="G12" s="631"/>
      <c r="H12" s="601"/>
      <c r="I12" s="602"/>
      <c r="L12" s="322"/>
      <c r="M12" s="322"/>
      <c r="N12" s="322"/>
      <c r="O12" s="322"/>
      <c r="P12" s="322"/>
      <c r="Q12" s="322"/>
      <c r="R12" s="322"/>
    </row>
    <row r="13" spans="1:18" ht="21" customHeight="1">
      <c r="B13" s="1876"/>
      <c r="C13" s="1876"/>
      <c r="D13" s="1876"/>
      <c r="E13" s="1876"/>
      <c r="F13" s="1877"/>
      <c r="G13" s="631"/>
      <c r="H13" s="601"/>
      <c r="I13" s="602"/>
      <c r="L13" s="322"/>
      <c r="M13" s="322"/>
      <c r="N13" s="322"/>
      <c r="O13" s="322"/>
      <c r="P13" s="322"/>
      <c r="Q13" s="322"/>
      <c r="R13" s="322"/>
    </row>
    <row r="14" spans="1:18" ht="21" customHeight="1">
      <c r="B14" s="1876"/>
      <c r="C14" s="1876"/>
      <c r="D14" s="1876"/>
      <c r="E14" s="1876"/>
      <c r="F14" s="1877"/>
      <c r="G14" s="632"/>
      <c r="H14" s="601"/>
      <c r="I14" s="602"/>
      <c r="L14" s="322"/>
      <c r="M14" s="322"/>
      <c r="N14" s="322"/>
      <c r="O14" s="322"/>
      <c r="P14" s="322"/>
      <c r="Q14" s="322"/>
      <c r="R14" s="322"/>
    </row>
    <row r="15" spans="1:18" ht="21" customHeight="1">
      <c r="A15" s="1792" t="s">
        <v>3448</v>
      </c>
      <c r="B15" s="1876"/>
      <c r="C15" s="1876"/>
      <c r="D15" s="1876"/>
      <c r="E15" s="1876"/>
      <c r="F15" s="1877"/>
      <c r="G15" s="631"/>
      <c r="H15" s="601"/>
      <c r="I15" s="602"/>
      <c r="L15" s="322"/>
      <c r="M15" s="322"/>
      <c r="N15" s="322"/>
      <c r="O15" s="322"/>
      <c r="P15" s="322"/>
      <c r="Q15" s="322"/>
      <c r="R15" s="322"/>
    </row>
    <row r="16" spans="1:18" ht="21" customHeight="1">
      <c r="A16" s="1792"/>
      <c r="B16" s="1876"/>
      <c r="C16" s="1876"/>
      <c r="D16" s="1876"/>
      <c r="E16" s="1876"/>
      <c r="F16" s="1877"/>
      <c r="G16" s="631"/>
      <c r="H16" s="601"/>
      <c r="I16" s="602"/>
      <c r="L16" s="322"/>
      <c r="M16" s="322"/>
      <c r="N16" s="322"/>
      <c r="O16" s="322"/>
      <c r="P16" s="322"/>
      <c r="Q16" s="322"/>
      <c r="R16" s="322"/>
    </row>
    <row r="17" spans="1:18" ht="21" customHeight="1">
      <c r="A17" s="1792"/>
      <c r="B17" s="1876"/>
      <c r="C17" s="1876"/>
      <c r="D17" s="1876"/>
      <c r="E17" s="1876"/>
      <c r="F17" s="1877"/>
      <c r="G17" s="631"/>
      <c r="H17" s="601"/>
      <c r="I17" s="602"/>
      <c r="L17" s="322"/>
      <c r="M17" s="322"/>
      <c r="N17" s="322"/>
      <c r="O17" s="322"/>
      <c r="P17" s="322"/>
      <c r="Q17" s="322"/>
      <c r="R17" s="322"/>
    </row>
    <row r="18" spans="1:18" ht="21" customHeight="1">
      <c r="A18" s="545"/>
      <c r="B18" s="1876"/>
      <c r="C18" s="1876"/>
      <c r="D18" s="1876"/>
      <c r="E18" s="1876"/>
      <c r="F18" s="1877"/>
      <c r="G18" s="631"/>
      <c r="H18" s="601"/>
      <c r="I18" s="602"/>
      <c r="L18" s="322"/>
      <c r="M18" s="322"/>
      <c r="N18" s="322"/>
      <c r="O18" s="322"/>
      <c r="P18" s="322"/>
      <c r="Q18" s="322"/>
      <c r="R18" s="322"/>
    </row>
    <row r="19" spans="1:18" ht="21" customHeight="1">
      <c r="B19" s="1876"/>
      <c r="C19" s="1876"/>
      <c r="D19" s="1876"/>
      <c r="E19" s="1876"/>
      <c r="F19" s="1877"/>
      <c r="G19" s="631"/>
      <c r="H19" s="601"/>
      <c r="I19" s="602"/>
      <c r="L19" s="322"/>
      <c r="M19" s="322"/>
      <c r="N19" s="322"/>
      <c r="O19" s="322"/>
      <c r="P19" s="322"/>
      <c r="Q19" s="322"/>
      <c r="R19" s="322"/>
    </row>
    <row r="20" spans="1:18" ht="21" customHeight="1">
      <c r="B20" s="1876"/>
      <c r="C20" s="1876"/>
      <c r="D20" s="1876"/>
      <c r="E20" s="1876"/>
      <c r="F20" s="1877"/>
      <c r="G20" s="631"/>
      <c r="H20" s="601"/>
      <c r="I20" s="602"/>
      <c r="L20" s="322"/>
      <c r="M20" s="322"/>
      <c r="N20" s="322"/>
      <c r="O20" s="322"/>
      <c r="P20" s="322"/>
      <c r="Q20" s="322"/>
      <c r="R20" s="322"/>
    </row>
    <row r="21" spans="1:18" ht="21" customHeight="1">
      <c r="B21" s="1876"/>
      <c r="C21" s="1876"/>
      <c r="D21" s="1876"/>
      <c r="E21" s="1876"/>
      <c r="F21" s="1877"/>
      <c r="G21" s="631"/>
      <c r="H21" s="601"/>
      <c r="I21" s="602"/>
      <c r="L21" s="322"/>
      <c r="M21" s="322"/>
      <c r="N21" s="322"/>
      <c r="O21" s="322"/>
      <c r="P21" s="322"/>
      <c r="Q21" s="322"/>
      <c r="R21" s="322"/>
    </row>
    <row r="22" spans="1:18" ht="21" customHeight="1" thickBot="1">
      <c r="B22" s="1876"/>
      <c r="C22" s="1876"/>
      <c r="D22" s="1876"/>
      <c r="E22" s="1876"/>
      <c r="F22" s="1877"/>
      <c r="G22" s="633"/>
      <c r="H22" s="627"/>
      <c r="I22" s="634"/>
      <c r="L22" s="322"/>
      <c r="M22" s="322"/>
      <c r="N22" s="322"/>
      <c r="O22" s="322"/>
      <c r="P22" s="322"/>
      <c r="Q22" s="322"/>
      <c r="R22" s="322"/>
    </row>
    <row r="23" spans="1:18" ht="21" customHeight="1" thickTop="1" thickBot="1">
      <c r="B23" s="544"/>
      <c r="C23" s="413"/>
      <c r="D23" s="551" t="s">
        <v>174</v>
      </c>
      <c r="E23" s="123"/>
      <c r="F23" s="550"/>
      <c r="G23" s="245">
        <f>SUM(G9:G22)</f>
        <v>0</v>
      </c>
      <c r="H23" s="137">
        <f>SUM(H9:H22)</f>
        <v>0</v>
      </c>
      <c r="I23" s="157">
        <f>SUM(I9:I22)</f>
        <v>0</v>
      </c>
      <c r="L23" s="322"/>
      <c r="M23" s="322"/>
      <c r="N23" s="322"/>
      <c r="O23" s="322"/>
      <c r="P23" s="322"/>
      <c r="Q23" s="322"/>
      <c r="R23" s="322"/>
    </row>
    <row r="24" spans="1:18" ht="13.5" customHeight="1" thickTop="1">
      <c r="B24" s="549"/>
      <c r="C24" s="548"/>
      <c r="D24" s="547"/>
      <c r="E24" s="510"/>
      <c r="F24" s="510"/>
      <c r="G24" s="510"/>
      <c r="H24" s="543"/>
      <c r="I24" s="543"/>
    </row>
    <row r="25" spans="1:18" ht="13.5" customHeight="1">
      <c r="B25" s="549"/>
      <c r="C25" s="548"/>
      <c r="D25" s="547"/>
      <c r="E25" s="510"/>
      <c r="F25" s="510"/>
      <c r="G25" s="510"/>
      <c r="H25" s="510"/>
      <c r="I25" s="510"/>
    </row>
    <row r="26" spans="1:18" ht="13.5" customHeight="1">
      <c r="B26" s="549"/>
      <c r="C26" s="548"/>
      <c r="D26" s="547"/>
      <c r="E26" s="510"/>
      <c r="F26" s="510"/>
      <c r="G26" s="510"/>
      <c r="H26" s="542"/>
      <c r="I26" s="510"/>
    </row>
    <row r="27" spans="1:18">
      <c r="B27" s="541"/>
      <c r="C27" s="411"/>
      <c r="D27" s="411"/>
    </row>
  </sheetData>
  <sheetProtection algorithmName="SHA-512" hashValue="QXUoBJMVZU83wRaa2TwGA0799wpVeLG7S1eujX9SO5lmRkeTF+LTAEQcuu5cYnsp4F5hI+v/6mJo3bugm7Rqbg==" saltValue="Nx5mCql4sYF9PW5Pzvr3JQ=="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20">
    <mergeCell ref="B18:F18"/>
    <mergeCell ref="B19:F19"/>
    <mergeCell ref="B20:F20"/>
    <mergeCell ref="B21:F21"/>
    <mergeCell ref="B22:F22"/>
    <mergeCell ref="B2:I2"/>
    <mergeCell ref="B3:I3"/>
    <mergeCell ref="A15:A17"/>
    <mergeCell ref="C6:D6"/>
    <mergeCell ref="H5:I6"/>
    <mergeCell ref="B4:F4"/>
    <mergeCell ref="B9:F9"/>
    <mergeCell ref="B10:F10"/>
    <mergeCell ref="B11:F11"/>
    <mergeCell ref="B12:F12"/>
    <mergeCell ref="B13:F13"/>
    <mergeCell ref="B14:F14"/>
    <mergeCell ref="B15:F15"/>
    <mergeCell ref="B16:F16"/>
    <mergeCell ref="B17:F17"/>
  </mergeCells>
  <pageMargins left="0.25" right="0.25" top="0.5" bottom="0.5" header="0.25" footer="0.25"/>
  <pageSetup paperSize="5" orientation="landscape" r:id="rId5"/>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1">
    <tabColor theme="6"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c r="B1" s="1146"/>
      <c r="C1" s="1146"/>
      <c r="D1" s="1146"/>
      <c r="E1" s="1146"/>
      <c r="F1" s="1146"/>
      <c r="G1" s="1146"/>
      <c r="H1" s="1146"/>
      <c r="I1" s="1146"/>
      <c r="J1" s="1146"/>
      <c r="K1" s="1146"/>
      <c r="L1" s="1146"/>
    </row>
    <row r="2" spans="2:21" ht="20.399999999999999">
      <c r="B2" s="1788" t="str">
        <f>"SCHEDULE  OF  IMPROVEMENT  AUTHORIZATIONS  "&amp;UPPER('KEY INPUTS'!D52)&amp;"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84" t="str">
        <f>'KEY INPUTS'!D25</f>
        <v>Balance - January 1, 2019</v>
      </c>
      <c r="F4" s="1885"/>
      <c r="G4" s="1143"/>
      <c r="H4" s="1143"/>
      <c r="I4" s="1143"/>
      <c r="J4" s="1143"/>
      <c r="K4" s="1890" t="str">
        <f>'KEY INPUTS'!D26</f>
        <v>Balance - December 31, 2019</v>
      </c>
      <c r="L4" s="1891"/>
    </row>
    <row r="5" spans="2:21" ht="13.5" customHeight="1">
      <c r="B5" s="1787" t="s">
        <v>656</v>
      </c>
      <c r="C5" s="1787"/>
      <c r="D5" s="1871"/>
      <c r="E5" s="1886"/>
      <c r="F5" s="1887"/>
      <c r="G5" s="1151"/>
      <c r="H5" s="1151"/>
      <c r="I5" s="1151"/>
      <c r="J5" s="1151"/>
      <c r="K5" s="1892"/>
      <c r="L5" s="1893"/>
    </row>
    <row r="6" spans="2:21" ht="13.5" customHeight="1">
      <c r="B6" s="1787" t="s">
        <v>657</v>
      </c>
      <c r="C6" s="1787"/>
      <c r="D6" s="1871"/>
      <c r="E6" s="1888"/>
      <c r="F6" s="1889"/>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701"/>
      <c r="C9" s="673"/>
      <c r="D9" s="676"/>
      <c r="E9" s="618"/>
      <c r="F9" s="618"/>
      <c r="G9" s="618"/>
      <c r="H9" s="618"/>
      <c r="I9" s="618"/>
      <c r="J9" s="618"/>
      <c r="K9" s="618"/>
      <c r="L9" s="630"/>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3450</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544"/>
      <c r="C27" s="413"/>
      <c r="D27" s="514" t="s">
        <v>3545</v>
      </c>
      <c r="E27" s="137">
        <f t="shared" ref="E27:L27" si="0">SUM(E9:E26)</f>
        <v>0</v>
      </c>
      <c r="F27" s="137">
        <f t="shared" si="0"/>
        <v>0</v>
      </c>
      <c r="G27" s="137">
        <f t="shared" si="0"/>
        <v>0</v>
      </c>
      <c r="H27" s="137">
        <f t="shared" si="0"/>
        <v>0</v>
      </c>
      <c r="I27" s="137">
        <f t="shared" si="0"/>
        <v>0</v>
      </c>
      <c r="J27" s="137">
        <f t="shared" si="0"/>
        <v>0</v>
      </c>
      <c r="K27" s="137">
        <f t="shared" si="0"/>
        <v>0</v>
      </c>
      <c r="L27" s="157">
        <f t="shared" si="0"/>
        <v>0</v>
      </c>
    </row>
    <row r="28" spans="1:21" ht="13.5" customHeight="1" thickTop="1">
      <c r="B28" s="549"/>
      <c r="C28" s="548" t="s">
        <v>663</v>
      </c>
      <c r="D28" s="547"/>
      <c r="E28" s="510"/>
      <c r="F28" s="510"/>
      <c r="G28" s="510"/>
      <c r="H28" s="510"/>
      <c r="I28" s="510"/>
      <c r="J28" s="510"/>
      <c r="K28" s="543"/>
      <c r="L28" s="543"/>
    </row>
    <row r="42" spans="11:12">
      <c r="K42" s="331" t="s">
        <v>3492</v>
      </c>
      <c r="L42" s="553">
        <f>K27+L27</f>
        <v>0</v>
      </c>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2:L2"/>
    <mergeCell ref="B3:L3"/>
    <mergeCell ref="A17:A19"/>
    <mergeCell ref="B5:D5"/>
    <mergeCell ref="B6:D6"/>
    <mergeCell ref="B7:D7"/>
    <mergeCell ref="E4:F6"/>
    <mergeCell ref="K4:L6"/>
    <mergeCell ref="B4:D4"/>
  </mergeCells>
  <pageMargins left="0.25" right="0.25" top="0.5" bottom="0.5" header="0.25" footer="0.25"/>
  <pageSetup paperSize="5" orientation="landscape" r:id="rId5"/>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2">
    <tabColor theme="6"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c r="B1" s="1146"/>
      <c r="C1" s="1146"/>
      <c r="D1" s="1146"/>
      <c r="E1" s="1146"/>
      <c r="F1" s="1146"/>
      <c r="G1" s="1146"/>
      <c r="H1" s="1146"/>
      <c r="I1" s="1146"/>
      <c r="J1" s="1146"/>
      <c r="K1" s="1146"/>
      <c r="L1" s="1146"/>
    </row>
    <row r="2" spans="2:21" ht="20.399999999999999">
      <c r="B2" s="1788" t="str">
        <f>"SCHEDULE  OF  IMPROVEMENT  AUTHORIZATIONS  " &amp;UPPER('KEY INPUTS'!D52)&amp;"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84" t="str">
        <f>'KEY INPUTS'!D25</f>
        <v>Balance - January 1, 2019</v>
      </c>
      <c r="F4" s="1885"/>
      <c r="G4" s="1143"/>
      <c r="H4" s="1143"/>
      <c r="I4" s="1143"/>
      <c r="J4" s="1143"/>
      <c r="K4" s="1890" t="str">
        <f>'KEY INPUTS'!D26</f>
        <v>Balance - December 31, 2019</v>
      </c>
      <c r="L4" s="1891"/>
    </row>
    <row r="5" spans="2:21" ht="13.5" customHeight="1">
      <c r="B5" s="1787" t="s">
        <v>656</v>
      </c>
      <c r="C5" s="1787"/>
      <c r="D5" s="1871"/>
      <c r="E5" s="1886"/>
      <c r="F5" s="1887"/>
      <c r="G5" s="1151"/>
      <c r="H5" s="1151"/>
      <c r="I5" s="1151"/>
      <c r="J5" s="1151"/>
      <c r="K5" s="1892"/>
      <c r="L5" s="1893"/>
    </row>
    <row r="6" spans="2:21" ht="13.5" customHeight="1">
      <c r="B6" s="1787" t="s">
        <v>657</v>
      </c>
      <c r="C6" s="1787"/>
      <c r="D6" s="1871"/>
      <c r="E6" s="1888"/>
      <c r="F6" s="1889"/>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+'52-Utility1'!E27</f>
        <v>0</v>
      </c>
      <c r="F9" s="1277">
        <f>+'52-Utility1'!F27</f>
        <v>0</v>
      </c>
      <c r="G9" s="1277">
        <f>+'52-Utility1'!G27</f>
        <v>0</v>
      </c>
      <c r="H9" s="1277">
        <f>+'52-Utility1'!H27</f>
        <v>0</v>
      </c>
      <c r="I9" s="1277">
        <f>+'52-Utility1'!I27</f>
        <v>0</v>
      </c>
      <c r="J9" s="1277">
        <f>+'52-Utility1'!J27</f>
        <v>0</v>
      </c>
      <c r="K9" s="1277">
        <f>+'52-Utility1'!K27</f>
        <v>0</v>
      </c>
      <c r="L9" s="1281">
        <f>+'52-Utility1'!L27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3651</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544"/>
      <c r="C27" s="413"/>
      <c r="D27" s="514" t="s">
        <v>3545</v>
      </c>
      <c r="E27" s="137">
        <f t="shared" ref="E27:L27" si="0">SUM(E9:E26)</f>
        <v>0</v>
      </c>
      <c r="F27" s="137">
        <f t="shared" si="0"/>
        <v>0</v>
      </c>
      <c r="G27" s="137">
        <f t="shared" si="0"/>
        <v>0</v>
      </c>
      <c r="H27" s="137">
        <f t="shared" si="0"/>
        <v>0</v>
      </c>
      <c r="I27" s="137">
        <f t="shared" si="0"/>
        <v>0</v>
      </c>
      <c r="J27" s="137">
        <f t="shared" si="0"/>
        <v>0</v>
      </c>
      <c r="K27" s="137">
        <f t="shared" si="0"/>
        <v>0</v>
      </c>
      <c r="L27" s="157">
        <f t="shared" si="0"/>
        <v>0</v>
      </c>
    </row>
    <row r="28" spans="1:21" ht="13.5" customHeight="1" thickTop="1">
      <c r="B28" s="549"/>
      <c r="C28" s="548" t="s">
        <v>663</v>
      </c>
      <c r="D28" s="547"/>
      <c r="E28" s="510"/>
      <c r="F28" s="510"/>
      <c r="G28" s="510"/>
      <c r="H28" s="510"/>
      <c r="I28" s="510"/>
      <c r="J28" s="510"/>
      <c r="K28" s="543"/>
      <c r="L28" s="543"/>
    </row>
    <row r="42" spans="11:12">
      <c r="K42" s="331" t="s">
        <v>3492</v>
      </c>
      <c r="L42" s="553">
        <f>K27+L27</f>
        <v>0</v>
      </c>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3">
    <tabColor theme="6"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 &amp;UPPER('KEY INPUTS'!D52)&amp;"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+'52.1-Utility1'!E27</f>
        <v>0</v>
      </c>
      <c r="F9" s="1277">
        <f>+'52.1-Utility1'!F27</f>
        <v>0</v>
      </c>
      <c r="G9" s="1277">
        <f>+'52.1-Utility1'!G27</f>
        <v>0</v>
      </c>
      <c r="H9" s="1277">
        <f>+'52.1-Utility1'!H27</f>
        <v>0</v>
      </c>
      <c r="I9" s="1277">
        <f>+'52.1-Utility1'!I27</f>
        <v>0</v>
      </c>
      <c r="J9" s="1277">
        <f>+'52.1-Utility1'!J27</f>
        <v>0</v>
      </c>
      <c r="K9" s="1277">
        <f>+'52.1-Utility1'!K27</f>
        <v>0</v>
      </c>
      <c r="L9" s="1281">
        <f>+'52.1-Utility1'!L27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3652</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544"/>
      <c r="C27" s="413"/>
      <c r="D27" s="514" t="s">
        <v>3545</v>
      </c>
      <c r="E27" s="137">
        <f t="shared" ref="E27:L27" si="0">SUM(E9:E26)</f>
        <v>0</v>
      </c>
      <c r="F27" s="137">
        <f t="shared" si="0"/>
        <v>0</v>
      </c>
      <c r="G27" s="137">
        <f t="shared" si="0"/>
        <v>0</v>
      </c>
      <c r="H27" s="137">
        <f t="shared" si="0"/>
        <v>0</v>
      </c>
      <c r="I27" s="137">
        <f t="shared" si="0"/>
        <v>0</v>
      </c>
      <c r="J27" s="137">
        <f t="shared" si="0"/>
        <v>0</v>
      </c>
      <c r="K27" s="137">
        <f t="shared" si="0"/>
        <v>0</v>
      </c>
      <c r="L27" s="157">
        <f t="shared" si="0"/>
        <v>0</v>
      </c>
    </row>
    <row r="28" spans="1:21" ht="13.5" customHeight="1" thickTop="1">
      <c r="B28" s="549"/>
      <c r="C28" s="548" t="s">
        <v>663</v>
      </c>
      <c r="D28" s="547"/>
      <c r="E28" s="510"/>
      <c r="F28" s="510"/>
      <c r="G28" s="510"/>
      <c r="H28" s="510"/>
      <c r="I28" s="510"/>
      <c r="J28" s="510"/>
      <c r="K28" s="543"/>
      <c r="L28" s="543"/>
    </row>
    <row r="42" spans="11:12">
      <c r="K42" s="331" t="s">
        <v>3492</v>
      </c>
      <c r="L42" s="553">
        <f>K27+L27</f>
        <v>0</v>
      </c>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4">
    <tabColor theme="6"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 &amp;UPPER('KEY INPUTS'!D52)&amp;"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+'52.2-Utility1'!E27</f>
        <v>0</v>
      </c>
      <c r="F9" s="1277">
        <f>+'52.2-Utility1'!F27</f>
        <v>0</v>
      </c>
      <c r="G9" s="1277">
        <f>+'52.2-Utility1'!G27</f>
        <v>0</v>
      </c>
      <c r="H9" s="1277">
        <f>+'52.2-Utility1'!H27</f>
        <v>0</v>
      </c>
      <c r="I9" s="1277">
        <f>+'52.2-Utility1'!I27</f>
        <v>0</v>
      </c>
      <c r="J9" s="1277">
        <f>+'52.2-Utility1'!J27</f>
        <v>0</v>
      </c>
      <c r="K9" s="1277">
        <f>+'52.2-Utility1'!K27</f>
        <v>0</v>
      </c>
      <c r="L9" s="1281">
        <f>+'52.2-Utility1'!L27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3653</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544"/>
      <c r="C27" s="413"/>
      <c r="D27" s="514" t="s">
        <v>3545</v>
      </c>
      <c r="E27" s="137">
        <f t="shared" ref="E27:L27" si="0">SUM(E9:E26)</f>
        <v>0</v>
      </c>
      <c r="F27" s="137">
        <f t="shared" si="0"/>
        <v>0</v>
      </c>
      <c r="G27" s="137">
        <f t="shared" si="0"/>
        <v>0</v>
      </c>
      <c r="H27" s="137">
        <f t="shared" si="0"/>
        <v>0</v>
      </c>
      <c r="I27" s="137">
        <f t="shared" si="0"/>
        <v>0</v>
      </c>
      <c r="J27" s="137">
        <f t="shared" si="0"/>
        <v>0</v>
      </c>
      <c r="K27" s="137">
        <f t="shared" si="0"/>
        <v>0</v>
      </c>
      <c r="L27" s="157">
        <f t="shared" si="0"/>
        <v>0</v>
      </c>
    </row>
    <row r="28" spans="1:21" ht="13.5" customHeight="1" thickTop="1">
      <c r="B28" s="549"/>
      <c r="C28" s="548" t="s">
        <v>663</v>
      </c>
      <c r="D28" s="547"/>
      <c r="E28" s="510"/>
      <c r="F28" s="510"/>
      <c r="G28" s="510"/>
      <c r="H28" s="510"/>
      <c r="I28" s="510"/>
      <c r="J28" s="510"/>
      <c r="K28" s="543"/>
      <c r="L28" s="543"/>
    </row>
    <row r="42" spans="11:12">
      <c r="K42" s="331" t="s">
        <v>3492</v>
      </c>
      <c r="L42" s="553">
        <f>K27+L27</f>
        <v>0</v>
      </c>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5">
    <tabColor theme="6"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c r="B1" s="1146"/>
      <c r="C1" s="1146"/>
      <c r="D1" s="1146"/>
      <c r="E1" s="1146"/>
      <c r="F1" s="1146"/>
      <c r="G1" s="1146"/>
      <c r="H1" s="1146"/>
      <c r="I1" s="1146"/>
      <c r="J1" s="1146"/>
      <c r="K1" s="1146"/>
      <c r="L1" s="1146"/>
    </row>
    <row r="2" spans="2:21" ht="20.399999999999999">
      <c r="B2" s="1788" t="str">
        <f>"SCHEDULE  OF  IMPROVEMENT  AUTHORIZATIONS  " &amp;UPPER('KEY INPUTS'!D52)&amp;"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+'52.3-Utility1'!E27</f>
        <v>0</v>
      </c>
      <c r="F9" s="1277">
        <f>+'52.3-Utility1'!F27</f>
        <v>0</v>
      </c>
      <c r="G9" s="1277">
        <f>+'52.3-Utility1'!G27</f>
        <v>0</v>
      </c>
      <c r="H9" s="1277">
        <f>+'52.3-Utility1'!H27</f>
        <v>0</v>
      </c>
      <c r="I9" s="1277">
        <f>+'52.3-Utility1'!I27</f>
        <v>0</v>
      </c>
      <c r="J9" s="1277">
        <f>+'52.3-Utility1'!J27</f>
        <v>0</v>
      </c>
      <c r="K9" s="1277">
        <f>+'52.3-Utility1'!K27</f>
        <v>0</v>
      </c>
      <c r="L9" s="1281">
        <f>+'52.3-Utility1'!L27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3654</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544"/>
      <c r="C27" s="413"/>
      <c r="D27" s="514" t="s">
        <v>1000</v>
      </c>
      <c r="E27" s="137">
        <f t="shared" ref="E27:L27" si="0">SUM(E9:E26)</f>
        <v>0</v>
      </c>
      <c r="F27" s="137">
        <f t="shared" si="0"/>
        <v>0</v>
      </c>
      <c r="G27" s="137">
        <f t="shared" si="0"/>
        <v>0</v>
      </c>
      <c r="H27" s="137">
        <f t="shared" si="0"/>
        <v>0</v>
      </c>
      <c r="I27" s="137">
        <f t="shared" si="0"/>
        <v>0</v>
      </c>
      <c r="J27" s="137">
        <f t="shared" si="0"/>
        <v>0</v>
      </c>
      <c r="K27" s="137">
        <f t="shared" si="0"/>
        <v>0</v>
      </c>
      <c r="L27" s="157">
        <f t="shared" si="0"/>
        <v>0</v>
      </c>
    </row>
    <row r="28" spans="1:21" ht="13.5" customHeight="1" thickTop="1">
      <c r="B28" s="549"/>
      <c r="C28" s="548" t="s">
        <v>663</v>
      </c>
      <c r="D28" s="547"/>
      <c r="E28" s="510"/>
      <c r="F28" s="510"/>
      <c r="G28" s="510"/>
      <c r="H28" s="510"/>
      <c r="I28" s="510"/>
      <c r="J28" s="510"/>
      <c r="K28" s="543"/>
      <c r="L28" s="543"/>
    </row>
    <row r="42" spans="11:12">
      <c r="K42" s="331" t="s">
        <v>3492</v>
      </c>
      <c r="L42" s="553">
        <f>K27+L27</f>
        <v>0</v>
      </c>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6">
    <tabColor theme="6" tint="0.39997558519241921"/>
  </sheetPr>
  <dimension ref="B3:S54"/>
  <sheetViews>
    <sheetView topLeftCell="A29"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6" width="9.109375" style="331"/>
    <col min="7" max="7" width="14.44140625" style="331" customWidth="1"/>
    <col min="8" max="8" width="15" style="331" customWidth="1"/>
    <col min="9" max="10" width="16.6640625" style="331" customWidth="1"/>
    <col min="11" max="16384" width="9.109375" style="331"/>
  </cols>
  <sheetData>
    <row r="3" spans="2:19" ht="22.8">
      <c r="B3" s="1902" t="str">
        <f>UPPER('KEY INPUTS'!D52)&amp;" UTILITY  CAPITAL  FUND"</f>
        <v xml:space="preserve"> UTILITY  CAPITAL  FUND</v>
      </c>
      <c r="C3" s="1902"/>
      <c r="D3" s="1902"/>
      <c r="E3" s="1902"/>
      <c r="F3" s="1902"/>
      <c r="G3" s="1902"/>
      <c r="H3" s="1902"/>
      <c r="I3" s="1902"/>
      <c r="J3" s="1902"/>
    </row>
    <row r="4" spans="2:19">
      <c r="B4" s="775"/>
      <c r="C4" s="775"/>
      <c r="D4" s="775"/>
      <c r="E4" s="775"/>
    </row>
    <row r="5" spans="2:19" ht="15.6">
      <c r="B5" s="1903" t="s">
        <v>667</v>
      </c>
      <c r="C5" s="1903"/>
      <c r="D5" s="1903"/>
      <c r="E5" s="1903"/>
      <c r="F5" s="1903"/>
      <c r="G5" s="1903"/>
      <c r="H5" s="1903"/>
      <c r="I5" s="1903"/>
      <c r="J5" s="1903"/>
    </row>
    <row r="6" spans="2:19" ht="13.8" thickBot="1"/>
    <row r="7" spans="2:19" ht="28.5" customHeight="1" thickTop="1" thickBot="1">
      <c r="B7" s="516"/>
      <c r="C7" s="516"/>
      <c r="D7" s="516"/>
      <c r="E7" s="516"/>
      <c r="F7" s="516"/>
      <c r="G7" s="516"/>
      <c r="H7" s="516"/>
      <c r="I7" s="410" t="s">
        <v>125</v>
      </c>
      <c r="J7" s="409" t="s">
        <v>126</v>
      </c>
    </row>
    <row r="8" spans="2:19" ht="21" customHeight="1" thickTop="1">
      <c r="B8" s="415" t="str">
        <f>'KEY INPUTS'!D25</f>
        <v>Balance - January 1, 2019</v>
      </c>
      <c r="C8" s="415"/>
      <c r="D8" s="415"/>
      <c r="E8" s="415"/>
      <c r="F8" s="415"/>
      <c r="G8" s="415"/>
      <c r="H8" s="557"/>
      <c r="I8" s="1088" t="s">
        <v>787</v>
      </c>
      <c r="J8" s="639"/>
    </row>
    <row r="9" spans="2:19" ht="21" customHeight="1">
      <c r="B9" s="511" t="str">
        <f>"Received from "&amp;'KEY INPUTS'!D34&amp;" Budget Appropriation"</f>
        <v>Received from 2019 Budget Appropriation</v>
      </c>
      <c r="C9" s="334"/>
      <c r="D9" s="334"/>
      <c r="E9" s="334"/>
      <c r="F9" s="334"/>
      <c r="G9" s="334"/>
      <c r="H9" s="555"/>
      <c r="I9" s="973" t="s">
        <v>787</v>
      </c>
      <c r="J9" s="609"/>
      <c r="M9" s="322"/>
      <c r="N9" s="322"/>
      <c r="O9" s="322"/>
      <c r="P9" s="322"/>
      <c r="Q9" s="322"/>
      <c r="R9" s="322"/>
      <c r="S9" s="322"/>
    </row>
    <row r="10" spans="2:19" ht="21" customHeight="1">
      <c r="B10" s="648"/>
      <c r="C10" s="648"/>
      <c r="D10" s="648"/>
      <c r="E10" s="648"/>
      <c r="F10" s="648"/>
      <c r="G10" s="648"/>
      <c r="H10" s="648"/>
      <c r="I10" s="973" t="s">
        <v>787</v>
      </c>
      <c r="J10" s="609"/>
      <c r="M10" s="322"/>
      <c r="N10" s="322"/>
      <c r="O10" s="322"/>
      <c r="P10" s="322"/>
      <c r="Q10" s="322"/>
      <c r="R10" s="322"/>
      <c r="S10" s="322"/>
    </row>
    <row r="11" spans="2:19" ht="11.25" customHeight="1">
      <c r="B11" s="560" t="s">
        <v>224</v>
      </c>
      <c r="C11" s="559"/>
      <c r="D11" s="559"/>
      <c r="E11" s="559"/>
      <c r="F11" s="559"/>
      <c r="G11" s="559"/>
      <c r="H11" s="552"/>
      <c r="I11" s="1906" t="s">
        <v>787</v>
      </c>
      <c r="J11" s="1904"/>
      <c r="M11" s="377"/>
      <c r="N11" s="322"/>
      <c r="O11" s="322"/>
      <c r="P11" s="322"/>
      <c r="Q11" s="322"/>
      <c r="R11" s="322"/>
      <c r="S11" s="322"/>
    </row>
    <row r="12" spans="2:19" ht="12.75" customHeight="1">
      <c r="B12" s="479"/>
      <c r="C12" s="556" t="s">
        <v>225</v>
      </c>
      <c r="D12" s="479"/>
      <c r="E12" s="479"/>
      <c r="F12" s="479"/>
      <c r="G12" s="479"/>
      <c r="H12" s="558"/>
      <c r="I12" s="1907"/>
      <c r="J12" s="1905"/>
      <c r="M12" s="322"/>
      <c r="N12" s="322"/>
      <c r="O12" s="322"/>
      <c r="P12" s="322"/>
      <c r="Q12" s="322"/>
      <c r="R12" s="322"/>
      <c r="S12" s="322"/>
    </row>
    <row r="13" spans="2:19" ht="21" customHeight="1">
      <c r="B13" s="668"/>
      <c r="C13" s="1282"/>
      <c r="D13" s="668"/>
      <c r="E13" s="668"/>
      <c r="F13" s="668"/>
      <c r="G13" s="668"/>
      <c r="H13" s="668"/>
      <c r="I13" s="683"/>
      <c r="J13" s="376"/>
      <c r="M13" s="322"/>
      <c r="N13" s="322"/>
      <c r="O13" s="322"/>
      <c r="P13" s="322"/>
      <c r="Q13" s="322"/>
      <c r="R13" s="322"/>
      <c r="S13" s="322"/>
    </row>
    <row r="14" spans="2:19" ht="21" customHeight="1">
      <c r="B14" s="1139" t="s">
        <v>226</v>
      </c>
      <c r="C14" s="1139"/>
      <c r="D14" s="1139"/>
      <c r="E14" s="1139"/>
      <c r="F14" s="1139"/>
      <c r="G14" s="1139"/>
      <c r="H14" s="1139"/>
      <c r="I14" s="973" t="s">
        <v>787</v>
      </c>
      <c r="J14" s="977" t="s">
        <v>787</v>
      </c>
      <c r="M14" s="322"/>
      <c r="N14" s="322"/>
      <c r="O14" s="322"/>
      <c r="P14" s="322"/>
      <c r="Q14" s="322"/>
      <c r="R14" s="322"/>
      <c r="S14" s="322"/>
    </row>
    <row r="15" spans="2:19" ht="21" customHeight="1">
      <c r="B15" s="648"/>
      <c r="C15" s="648"/>
      <c r="D15" s="648"/>
      <c r="E15" s="648"/>
      <c r="F15" s="648"/>
      <c r="G15" s="648"/>
      <c r="H15" s="648"/>
      <c r="I15" s="601"/>
      <c r="J15" s="977" t="s">
        <v>787</v>
      </c>
      <c r="M15" s="322"/>
      <c r="N15" s="322"/>
      <c r="O15" s="322"/>
      <c r="P15" s="322"/>
      <c r="Q15" s="322"/>
      <c r="R15" s="322"/>
      <c r="S15" s="322"/>
    </row>
    <row r="16" spans="2:19" ht="21" customHeight="1">
      <c r="B16" s="648"/>
      <c r="C16" s="648"/>
      <c r="D16" s="648"/>
      <c r="E16" s="648"/>
      <c r="F16" s="648"/>
      <c r="G16" s="648"/>
      <c r="H16" s="648"/>
      <c r="I16" s="601"/>
      <c r="J16" s="977" t="s">
        <v>787</v>
      </c>
      <c r="M16" s="322"/>
      <c r="N16" s="322"/>
      <c r="O16" s="322"/>
      <c r="P16" s="322"/>
      <c r="Q16" s="322"/>
      <c r="R16" s="322"/>
      <c r="S16" s="322"/>
    </row>
    <row r="17" spans="2:19" ht="21" customHeight="1">
      <c r="B17" s="648"/>
      <c r="C17" s="648"/>
      <c r="D17" s="648"/>
      <c r="E17" s="648"/>
      <c r="F17" s="648"/>
      <c r="G17" s="648"/>
      <c r="H17" s="648"/>
      <c r="I17" s="601"/>
      <c r="J17" s="977" t="s">
        <v>787</v>
      </c>
      <c r="M17" s="322"/>
      <c r="N17" s="322"/>
      <c r="O17" s="322"/>
      <c r="P17" s="322"/>
      <c r="Q17" s="322"/>
      <c r="R17" s="322"/>
      <c r="S17" s="322"/>
    </row>
    <row r="18" spans="2:19" ht="21" customHeight="1">
      <c r="B18" s="648"/>
      <c r="C18" s="648"/>
      <c r="D18" s="648"/>
      <c r="E18" s="648"/>
      <c r="F18" s="648"/>
      <c r="G18" s="648"/>
      <c r="H18" s="648"/>
      <c r="I18" s="601"/>
      <c r="J18" s="977" t="s">
        <v>787</v>
      </c>
      <c r="M18" s="322"/>
      <c r="N18" s="322"/>
      <c r="O18" s="322"/>
      <c r="P18" s="322"/>
      <c r="Q18" s="322"/>
      <c r="R18" s="322"/>
      <c r="S18" s="322"/>
    </row>
    <row r="19" spans="2:19" ht="21" customHeight="1">
      <c r="B19" s="648"/>
      <c r="C19" s="648"/>
      <c r="D19" s="648"/>
      <c r="E19" s="648"/>
      <c r="F19" s="648"/>
      <c r="G19" s="648"/>
      <c r="H19" s="648"/>
      <c r="I19" s="601"/>
      <c r="J19" s="977" t="s">
        <v>787</v>
      </c>
      <c r="M19" s="322"/>
      <c r="N19" s="322"/>
      <c r="O19" s="322"/>
      <c r="P19" s="322"/>
      <c r="Q19" s="322"/>
      <c r="R19" s="322"/>
      <c r="S19" s="322"/>
    </row>
    <row r="20" spans="2:19" ht="21" customHeight="1">
      <c r="B20" s="648"/>
      <c r="C20" s="648"/>
      <c r="D20" s="648"/>
      <c r="E20" s="648"/>
      <c r="F20" s="648"/>
      <c r="G20" s="648"/>
      <c r="H20" s="648"/>
      <c r="I20" s="601"/>
      <c r="J20" s="977" t="s">
        <v>787</v>
      </c>
      <c r="M20" s="322"/>
      <c r="N20" s="322"/>
      <c r="O20" s="322"/>
      <c r="P20" s="322"/>
      <c r="Q20" s="322"/>
      <c r="R20" s="322"/>
      <c r="S20" s="322"/>
    </row>
    <row r="21" spans="2:19" ht="21" customHeight="1">
      <c r="B21" s="648"/>
      <c r="C21" s="648"/>
      <c r="D21" s="648"/>
      <c r="E21" s="648"/>
      <c r="F21" s="648"/>
      <c r="G21" s="648"/>
      <c r="H21" s="648"/>
      <c r="I21" s="601"/>
      <c r="J21" s="977" t="s">
        <v>787</v>
      </c>
      <c r="M21" s="322"/>
      <c r="N21" s="322"/>
      <c r="O21" s="322"/>
      <c r="P21" s="322"/>
      <c r="Q21" s="322"/>
      <c r="R21" s="322"/>
      <c r="S21" s="322"/>
    </row>
    <row r="22" spans="2:19" ht="21" customHeight="1">
      <c r="B22" s="334" t="s">
        <v>229</v>
      </c>
      <c r="C22" s="334"/>
      <c r="D22" s="334"/>
      <c r="E22" s="334"/>
      <c r="F22" s="334"/>
      <c r="G22" s="334"/>
      <c r="H22" s="555"/>
      <c r="I22" s="601"/>
      <c r="J22" s="977" t="s">
        <v>787</v>
      </c>
      <c r="M22" s="322"/>
      <c r="N22" s="322"/>
      <c r="O22" s="322"/>
      <c r="P22" s="322"/>
      <c r="Q22" s="322"/>
      <c r="R22" s="322"/>
      <c r="S22" s="322"/>
    </row>
    <row r="23" spans="2:19" ht="21" customHeight="1">
      <c r="B23" s="648"/>
      <c r="C23" s="648"/>
      <c r="D23" s="648"/>
      <c r="E23" s="648"/>
      <c r="F23" s="648"/>
      <c r="G23" s="648"/>
      <c r="H23" s="648"/>
      <c r="I23" s="601"/>
      <c r="J23" s="977" t="s">
        <v>787</v>
      </c>
      <c r="M23" s="322"/>
      <c r="N23" s="322"/>
      <c r="O23" s="322"/>
      <c r="P23" s="322"/>
      <c r="Q23" s="322"/>
      <c r="R23" s="322"/>
      <c r="S23" s="322"/>
    </row>
    <row r="24" spans="2:19" ht="21" customHeight="1" thickBot="1">
      <c r="B24" s="334" t="str">
        <f>'KEY INPUTS'!D26</f>
        <v>Balance - December 31, 2019</v>
      </c>
      <c r="C24" s="334"/>
      <c r="D24" s="334"/>
      <c r="E24" s="334"/>
      <c r="F24" s="334"/>
      <c r="G24" s="334"/>
      <c r="H24" s="555"/>
      <c r="I24" s="1106">
        <f>+SUM(J8:J13)-SUM(I13:I23)</f>
        <v>0</v>
      </c>
      <c r="J24" s="1104" t="s">
        <v>787</v>
      </c>
      <c r="M24" s="322"/>
      <c r="N24" s="322"/>
      <c r="O24" s="322"/>
      <c r="P24" s="322"/>
      <c r="Q24" s="322"/>
      <c r="R24" s="322"/>
      <c r="S24" s="322"/>
    </row>
    <row r="25" spans="2:19" ht="21" customHeight="1" thickTop="1" thickBot="1">
      <c r="I25" s="1061">
        <f>SUM(I8:I24)</f>
        <v>0</v>
      </c>
      <c r="J25" s="1107">
        <f>SUM(J8:J24)</f>
        <v>0</v>
      </c>
      <c r="M25" s="322"/>
      <c r="N25" s="322"/>
      <c r="O25" s="322"/>
      <c r="P25" s="322"/>
      <c r="Q25" s="322"/>
      <c r="R25" s="322"/>
      <c r="S25" s="322"/>
    </row>
    <row r="26" spans="2:19" ht="13.8" thickTop="1"/>
    <row r="30" spans="2:19" ht="22.8">
      <c r="B30" s="1902" t="str">
        <f>UPPER('KEY INPUTS'!D52)&amp;" UTILITY  CAPITAL  FUND"</f>
        <v xml:space="preserve"> UTILITY  CAPITAL  FUND</v>
      </c>
      <c r="C30" s="1902"/>
      <c r="D30" s="1902"/>
      <c r="E30" s="1902"/>
      <c r="F30" s="1902"/>
      <c r="G30" s="1902"/>
      <c r="H30" s="1902"/>
      <c r="I30" s="1902"/>
      <c r="J30" s="1902"/>
    </row>
    <row r="31" spans="2:19" ht="7.5" customHeight="1"/>
    <row r="32" spans="2:19" ht="15.6">
      <c r="B32" s="1903" t="s">
        <v>234</v>
      </c>
      <c r="C32" s="1903"/>
      <c r="D32" s="1903"/>
      <c r="E32" s="1903"/>
      <c r="F32" s="1903"/>
      <c r="G32" s="1903"/>
      <c r="H32" s="1903"/>
      <c r="I32" s="1903"/>
      <c r="J32" s="1903"/>
    </row>
    <row r="33" spans="2:10" ht="13.8" thickBot="1"/>
    <row r="34" spans="2:10" ht="26.25" customHeight="1" thickTop="1" thickBot="1">
      <c r="B34" s="516"/>
      <c r="C34" s="516"/>
      <c r="D34" s="516"/>
      <c r="E34" s="516"/>
      <c r="F34" s="516"/>
      <c r="G34" s="516"/>
      <c r="H34" s="516"/>
      <c r="I34" s="410" t="s">
        <v>125</v>
      </c>
      <c r="J34" s="409" t="s">
        <v>126</v>
      </c>
    </row>
    <row r="35" spans="2:10" ht="21" customHeight="1" thickTop="1">
      <c r="B35" s="415" t="str">
        <f>'KEY INPUTS'!D25</f>
        <v>Balance - January 1, 2019</v>
      </c>
      <c r="C35" s="415"/>
      <c r="D35" s="415"/>
      <c r="E35" s="415"/>
      <c r="F35" s="415"/>
      <c r="G35" s="415"/>
      <c r="H35" s="557"/>
      <c r="I35" s="1088" t="s">
        <v>787</v>
      </c>
      <c r="J35" s="639"/>
    </row>
    <row r="36" spans="2:10" ht="21" customHeight="1">
      <c r="B36" s="511" t="str">
        <f>"Received from "&amp;TEXT('KEY INPUTS'!D34,"0")&amp;" Budget Appropriation *"</f>
        <v>Received from 2019 Budget Appropriation *</v>
      </c>
      <c r="C36" s="334"/>
      <c r="D36" s="334"/>
      <c r="E36" s="334"/>
      <c r="F36" s="334"/>
      <c r="G36" s="334"/>
      <c r="H36" s="555"/>
      <c r="I36" s="973" t="s">
        <v>787</v>
      </c>
      <c r="J36" s="609"/>
    </row>
    <row r="37" spans="2:10" ht="21" customHeight="1">
      <c r="B37" s="511" t="str">
        <f>"Received from "&amp;TEXT('KEY INPUTS'!D34,"0")&amp;" Emergency Appropriation *"</f>
        <v>Received from 2019 Emergency Appropriation *</v>
      </c>
      <c r="C37" s="334"/>
      <c r="D37" s="334"/>
      <c r="E37" s="334"/>
      <c r="F37" s="334"/>
      <c r="G37" s="334"/>
      <c r="H37" s="555"/>
      <c r="I37" s="973" t="s">
        <v>787</v>
      </c>
      <c r="J37" s="609"/>
    </row>
    <row r="38" spans="2:10" ht="21" customHeight="1">
      <c r="B38" s="668"/>
      <c r="C38" s="1282"/>
      <c r="D38" s="668"/>
      <c r="E38" s="479"/>
      <c r="F38" s="479"/>
      <c r="G38" s="479"/>
      <c r="H38" s="479"/>
      <c r="I38" s="683"/>
      <c r="J38" s="376"/>
    </row>
    <row r="39" spans="2:10" ht="21" customHeight="1">
      <c r="B39" s="334" t="s">
        <v>229</v>
      </c>
      <c r="C39" s="334"/>
      <c r="D39" s="334"/>
      <c r="E39" s="334"/>
      <c r="F39" s="334"/>
      <c r="G39" s="334"/>
      <c r="H39" s="555"/>
      <c r="I39" s="601"/>
      <c r="J39" s="977" t="s">
        <v>787</v>
      </c>
    </row>
    <row r="40" spans="2:10" ht="21" customHeight="1">
      <c r="B40" s="648"/>
      <c r="C40" s="648"/>
      <c r="D40" s="648"/>
      <c r="E40" s="334"/>
      <c r="F40" s="334"/>
      <c r="G40" s="334"/>
      <c r="H40" s="334"/>
      <c r="I40" s="601"/>
      <c r="J40" s="977" t="s">
        <v>787</v>
      </c>
    </row>
    <row r="41" spans="2:10" ht="21" customHeight="1" thickBot="1">
      <c r="B41" s="334" t="str">
        <f>'KEY INPUTS'!D26</f>
        <v>Balance - December 31, 2019</v>
      </c>
      <c r="C41" s="334"/>
      <c r="D41" s="334"/>
      <c r="E41" s="334"/>
      <c r="F41" s="334"/>
      <c r="G41" s="334"/>
      <c r="H41" s="555"/>
      <c r="I41" s="1283">
        <f>SUM(J35:J38)-SUM(I38:I40)</f>
        <v>0</v>
      </c>
      <c r="J41" s="1104" t="s">
        <v>787</v>
      </c>
    </row>
    <row r="42" spans="2:10" ht="21" customHeight="1" thickTop="1" thickBot="1">
      <c r="I42" s="1061">
        <f>SUM(I35:I41)</f>
        <v>0</v>
      </c>
      <c r="J42" s="1107">
        <f>SUM(J35:J41)</f>
        <v>0</v>
      </c>
    </row>
    <row r="43" spans="2:10" ht="21" customHeight="1" thickTop="1">
      <c r="I43" s="122"/>
      <c r="J43" s="122"/>
    </row>
    <row r="44" spans="2:10" ht="21" customHeight="1"/>
    <row r="45" spans="2:10" ht="13.5" customHeight="1">
      <c r="B45" s="554" t="str">
        <f>"*The full amount of the "&amp;TEXT('KEY INPUTS'!D34,"0")&amp;"  budget appropriation should be transferred to this account unless the balance of the"</f>
        <v>*The full amount of the 2019  budget appropriation should be transferred to this account unless the balance of the</v>
      </c>
      <c r="C45" s="554"/>
    </row>
    <row r="46" spans="2:10" ht="13.5" customHeight="1">
      <c r="B46" s="554"/>
      <c r="C46" s="554" t="s">
        <v>233</v>
      </c>
    </row>
    <row r="47" spans="2:10" ht="13.5" customHeight="1">
      <c r="B47" s="554"/>
      <c r="C47" s="554"/>
    </row>
    <row r="48" spans="2:10" ht="13.5" customHeight="1">
      <c r="B48" s="554"/>
      <c r="C48" s="554"/>
    </row>
    <row r="49" spans="2:10" ht="13.5" customHeight="1">
      <c r="B49" s="554"/>
      <c r="C49" s="554"/>
    </row>
    <row r="50" spans="2:10" ht="13.5" customHeight="1">
      <c r="B50" s="554"/>
      <c r="C50" s="554"/>
    </row>
    <row r="51" spans="2:10" ht="13.5" customHeight="1">
      <c r="B51" s="554"/>
      <c r="C51" s="554"/>
    </row>
    <row r="52" spans="2:10" ht="13.5" customHeight="1">
      <c r="B52" s="554"/>
      <c r="C52" s="554"/>
    </row>
    <row r="53" spans="2:10" ht="13.5" customHeight="1">
      <c r="B53" s="554"/>
      <c r="C53" s="554"/>
    </row>
    <row r="54" spans="2:10" ht="13.8">
      <c r="B54" s="1812" t="s">
        <v>3451</v>
      </c>
      <c r="C54" s="1812"/>
      <c r="D54" s="1812"/>
      <c r="E54" s="1812"/>
      <c r="F54" s="1812"/>
      <c r="G54" s="1812"/>
      <c r="H54" s="1812"/>
      <c r="I54" s="1812"/>
      <c r="J54" s="1812"/>
    </row>
  </sheetData>
  <sheetProtection algorithmName="SHA-512" hashValue="KbC72KCo9zvH7W0F5wGg7u+RKIksPXBn4+lob4KZJVwYV3fr+FbQPLQkAMuHs/9Bv5YiCSgelvI6uQ08pRPOPw==" saltValue="l5zV4Ct27emT/9i8EeuGow==" spinCount="100000" sheet="1" objects="1" scenarios="1"/>
  <customSheetViews>
    <customSheetView guid="{AC653BD0-46E3-42CB-9C76-32121A57B65A}" topLeftCell="A29">
      <selection activeCell="B1" sqref="B1"/>
      <pageMargins left="0.25" right="0.25" top="0.5" bottom="0.5" header="0.25" footer="0.25"/>
      <pageSetup paperSize="5" orientation="portrait" r:id="rId1"/>
      <headerFooter alignWithMargins="0"/>
    </customSheetView>
    <customSheetView guid="{B165479B-DC25-403C-9595-F1A88A4AA9A2}" topLeftCell="A29">
      <selection activeCell="B1" sqref="B1"/>
      <pageMargins left="0.25" right="0.25" top="0.5" bottom="0.5" header="0.25" footer="0.25"/>
      <pageSetup paperSize="5" orientation="portrait" r:id="rId2"/>
      <headerFooter alignWithMargins="0"/>
    </customSheetView>
    <customSheetView guid="{A64E4C9E-A3DA-4AAA-8607-F524450B9436}" topLeftCell="A29">
      <selection activeCell="B1" sqref="B1"/>
      <pageMargins left="0.25" right="0.25" top="0.5" bottom="0.5" header="0.25" footer="0.25"/>
      <pageSetup paperSize="5" orientation="portrait" r:id="rId3"/>
      <headerFooter alignWithMargins="0"/>
    </customSheetView>
    <customSheetView guid="{AB4FBD91-4533-473A-9702-569FF6402073}" topLeftCell="A29">
      <selection activeCell="B1" sqref="B1"/>
      <pageMargins left="0.25" right="0.25" top="0.5" bottom="0.5" header="0.25" footer="0.25"/>
      <pageSetup paperSize="5" orientation="portrait" r:id="rId4"/>
      <headerFooter alignWithMargins="0"/>
    </customSheetView>
  </customSheetViews>
  <mergeCells count="7">
    <mergeCell ref="B3:J3"/>
    <mergeCell ref="B5:J5"/>
    <mergeCell ref="B54:J54"/>
    <mergeCell ref="B30:J30"/>
    <mergeCell ref="B32:J32"/>
    <mergeCell ref="J11:J12"/>
    <mergeCell ref="I11:I12"/>
  </mergeCells>
  <pageMargins left="0.25" right="0.25" top="0.5" bottom="0.5" header="0.25" footer="0.25"/>
  <pageSetup paperSize="5" orientation="portrait" r:id="rId5"/>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7">
    <tabColor theme="6" tint="0.39997558519241921"/>
  </sheetPr>
  <dimension ref="B1:AC52"/>
  <sheetViews>
    <sheetView zoomScaleNormal="100" zoomScaleSheetLayoutView="80" workbookViewId="0">
      <selection activeCell="B1" sqref="B1"/>
    </sheetView>
  </sheetViews>
  <sheetFormatPr defaultColWidth="8.88671875" defaultRowHeight="13.2"/>
  <cols>
    <col min="1" max="3" width="4.6640625" style="398" customWidth="1"/>
    <col min="4" max="4" width="4.5546875" style="398" customWidth="1"/>
    <col min="5" max="5" width="8.88671875" style="398"/>
    <col min="6" max="6" width="6.6640625" style="398" customWidth="1"/>
    <col min="7" max="10" width="16.6640625" style="398" customWidth="1"/>
    <col min="11" max="20" width="8.88671875" style="398"/>
    <col min="21" max="23" width="4.6640625" customWidth="1"/>
    <col min="25" max="25" width="6.6640625" customWidth="1"/>
    <col min="26" max="29" width="16.6640625" customWidth="1"/>
    <col min="30" max="16384" width="8.88671875" style="398"/>
  </cols>
  <sheetData>
    <row r="1" spans="2:19">
      <c r="D1" s="470"/>
      <c r="E1" s="470"/>
    </row>
    <row r="2" spans="2:19">
      <c r="D2" s="470"/>
      <c r="E2" s="470"/>
    </row>
    <row r="3" spans="2:19" ht="24.6">
      <c r="B3" s="1908" t="str">
        <f>UPPER('KEY INPUTS'!D52)&amp;"  UTILITY  FUND"</f>
        <v xml:space="preserve">  UTILITY  FUND</v>
      </c>
      <c r="C3" s="1908"/>
      <c r="D3" s="1908"/>
      <c r="E3" s="1908"/>
      <c r="F3" s="1908"/>
      <c r="G3" s="1908"/>
      <c r="H3" s="1908"/>
      <c r="I3" s="1908"/>
      <c r="J3" s="1908"/>
    </row>
    <row r="4" spans="2:19">
      <c r="B4" s="775"/>
      <c r="C4" s="775"/>
      <c r="D4" s="775"/>
      <c r="E4" s="775"/>
    </row>
    <row r="5" spans="2:19" ht="17.399999999999999">
      <c r="B5" s="1909" t="str">
        <f>"CAPITAL  IMPROVEMENTS  AUTHORIZED  IN "&amp;TEXT('KEY INPUTS'!D34,"0")&amp;""</f>
        <v>CAPITAL  IMPROVEMENTS  AUTHORIZED  IN 2019</v>
      </c>
      <c r="C5" s="1909"/>
      <c r="D5" s="1909"/>
      <c r="E5" s="1909"/>
      <c r="F5" s="1909"/>
      <c r="G5" s="1909"/>
      <c r="H5" s="1909"/>
      <c r="I5" s="1909"/>
      <c r="J5" s="1909"/>
    </row>
    <row r="6" spans="2:19" ht="17.399999999999999">
      <c r="B6" s="1909" t="s">
        <v>261</v>
      </c>
      <c r="C6" s="1909"/>
      <c r="D6" s="1909"/>
      <c r="E6" s="1909"/>
      <c r="F6" s="1909"/>
      <c r="G6" s="1909"/>
      <c r="H6" s="1909"/>
      <c r="I6" s="1909"/>
      <c r="J6" s="1909"/>
    </row>
    <row r="7" spans="2:19" ht="13.8" thickBot="1"/>
    <row r="8" spans="2:19" ht="13.8" thickTop="1">
      <c r="B8" s="540"/>
      <c r="C8" s="540"/>
      <c r="D8" s="540"/>
      <c r="E8" s="540"/>
      <c r="F8" s="540"/>
      <c r="G8" s="461"/>
      <c r="H8" s="461"/>
      <c r="I8" s="461"/>
      <c r="J8" s="460" t="s">
        <v>307</v>
      </c>
    </row>
    <row r="9" spans="2:19">
      <c r="C9" s="1764" t="s">
        <v>532</v>
      </c>
      <c r="D9" s="1764"/>
      <c r="E9" s="1764"/>
      <c r="G9" s="539" t="s">
        <v>533</v>
      </c>
      <c r="H9" s="539" t="s">
        <v>260</v>
      </c>
      <c r="I9" s="539" t="s">
        <v>265</v>
      </c>
      <c r="J9" s="400" t="s">
        <v>308</v>
      </c>
    </row>
    <row r="10" spans="2:19">
      <c r="G10" s="539" t="s">
        <v>263</v>
      </c>
      <c r="H10" s="539" t="s">
        <v>264</v>
      </c>
      <c r="I10" s="539" t="s">
        <v>266</v>
      </c>
      <c r="J10" s="565" t="str">
        <f>"of " &amp;TEXT('KEY INPUTS'!D34,"0")&amp;" or Prior"</f>
        <v>of 2019 or Prior</v>
      </c>
    </row>
    <row r="11" spans="2:19" ht="13.8" thickBot="1">
      <c r="B11" s="466"/>
      <c r="C11" s="466"/>
      <c r="D11" s="466"/>
      <c r="E11" s="466"/>
      <c r="F11" s="466"/>
      <c r="G11" s="538"/>
      <c r="H11" s="538" t="s">
        <v>560</v>
      </c>
      <c r="I11" s="538" t="s">
        <v>306</v>
      </c>
      <c r="J11" s="564" t="s">
        <v>309</v>
      </c>
      <c r="M11" s="322"/>
      <c r="N11" s="322"/>
      <c r="O11" s="322"/>
      <c r="P11" s="322"/>
      <c r="Q11" s="322"/>
      <c r="R11" s="322"/>
      <c r="S11" s="322"/>
    </row>
    <row r="12" spans="2:19" ht="21" customHeight="1" thickTop="1">
      <c r="B12" s="673"/>
      <c r="C12" s="673"/>
      <c r="D12" s="673"/>
      <c r="E12" s="673"/>
      <c r="F12" s="673"/>
      <c r="G12" s="605"/>
      <c r="H12" s="605"/>
      <c r="I12" s="605"/>
      <c r="J12" s="639"/>
      <c r="M12" s="322"/>
      <c r="N12" s="322"/>
      <c r="O12" s="322"/>
      <c r="P12" s="322"/>
      <c r="Q12" s="322"/>
      <c r="R12" s="322"/>
      <c r="S12" s="322"/>
    </row>
    <row r="13" spans="2:19" ht="21" customHeight="1">
      <c r="B13" s="648"/>
      <c r="C13" s="648"/>
      <c r="D13" s="648"/>
      <c r="E13" s="648"/>
      <c r="F13" s="648"/>
      <c r="G13" s="601"/>
      <c r="H13" s="601"/>
      <c r="I13" s="601"/>
      <c r="J13" s="609"/>
      <c r="M13" s="377"/>
      <c r="N13" s="322"/>
      <c r="O13" s="322"/>
      <c r="P13" s="322"/>
      <c r="Q13" s="322"/>
      <c r="R13" s="322"/>
      <c r="S13" s="322"/>
    </row>
    <row r="14" spans="2:19" ht="21" customHeight="1">
      <c r="B14" s="648"/>
      <c r="C14" s="648"/>
      <c r="D14" s="648"/>
      <c r="E14" s="648"/>
      <c r="F14" s="648"/>
      <c r="G14" s="601"/>
      <c r="H14" s="601"/>
      <c r="I14" s="601"/>
      <c r="J14" s="609"/>
      <c r="M14" s="322"/>
      <c r="N14" s="322"/>
      <c r="O14" s="322"/>
      <c r="P14" s="322"/>
      <c r="Q14" s="322"/>
      <c r="R14" s="322"/>
      <c r="S14" s="322"/>
    </row>
    <row r="15" spans="2:19" ht="21" customHeight="1">
      <c r="B15" s="648"/>
      <c r="C15" s="648"/>
      <c r="D15" s="648"/>
      <c r="E15" s="648"/>
      <c r="F15" s="648"/>
      <c r="G15" s="601"/>
      <c r="H15" s="601"/>
      <c r="I15" s="601"/>
      <c r="J15" s="609"/>
      <c r="M15" s="322"/>
      <c r="N15" s="322"/>
      <c r="O15" s="322"/>
      <c r="P15" s="322"/>
      <c r="Q15" s="322"/>
      <c r="R15" s="322"/>
      <c r="S15" s="322"/>
    </row>
    <row r="16" spans="2:19" ht="21" customHeight="1">
      <c r="B16" s="648"/>
      <c r="C16" s="648"/>
      <c r="D16" s="648"/>
      <c r="E16" s="648"/>
      <c r="F16" s="648"/>
      <c r="G16" s="601"/>
      <c r="H16" s="601"/>
      <c r="I16" s="601"/>
      <c r="J16" s="609"/>
      <c r="M16" s="322"/>
      <c r="N16" s="322"/>
      <c r="O16" s="322"/>
      <c r="P16" s="322"/>
      <c r="Q16" s="322"/>
      <c r="R16" s="322"/>
      <c r="S16" s="322"/>
    </row>
    <row r="17" spans="2:19" ht="21" customHeight="1">
      <c r="B17" s="648"/>
      <c r="C17" s="648"/>
      <c r="D17" s="648"/>
      <c r="E17" s="648"/>
      <c r="F17" s="648"/>
      <c r="G17" s="601"/>
      <c r="H17" s="601"/>
      <c r="I17" s="601"/>
      <c r="J17" s="609"/>
      <c r="M17" s="322"/>
      <c r="N17" s="322"/>
      <c r="O17" s="322"/>
      <c r="P17" s="322"/>
      <c r="Q17" s="322"/>
      <c r="R17" s="322"/>
      <c r="S17" s="322"/>
    </row>
    <row r="18" spans="2:19" ht="21" customHeight="1">
      <c r="B18" s="648"/>
      <c r="C18" s="648"/>
      <c r="D18" s="648"/>
      <c r="E18" s="648"/>
      <c r="F18" s="648"/>
      <c r="G18" s="601"/>
      <c r="H18" s="601"/>
      <c r="I18" s="601"/>
      <c r="J18" s="609"/>
      <c r="M18" s="322"/>
      <c r="N18" s="322"/>
      <c r="O18" s="322"/>
      <c r="P18" s="322"/>
      <c r="Q18" s="322"/>
      <c r="R18" s="322"/>
      <c r="S18" s="322"/>
    </row>
    <row r="19" spans="2:19" ht="21" customHeight="1">
      <c r="B19" s="648"/>
      <c r="C19" s="648"/>
      <c r="D19" s="648"/>
      <c r="E19" s="648"/>
      <c r="F19" s="648"/>
      <c r="G19" s="601"/>
      <c r="H19" s="601"/>
      <c r="I19" s="601"/>
      <c r="J19" s="609"/>
      <c r="M19" s="322"/>
      <c r="N19" s="322"/>
      <c r="O19" s="322"/>
      <c r="P19" s="322"/>
      <c r="Q19" s="322"/>
      <c r="R19" s="322"/>
      <c r="S19" s="322"/>
    </row>
    <row r="20" spans="2:19" ht="21" customHeight="1">
      <c r="B20" s="648"/>
      <c r="C20" s="648"/>
      <c r="D20" s="648"/>
      <c r="E20" s="648"/>
      <c r="F20" s="648"/>
      <c r="G20" s="601"/>
      <c r="H20" s="601"/>
      <c r="I20" s="601"/>
      <c r="J20" s="609"/>
      <c r="M20" s="322"/>
      <c r="N20" s="322"/>
      <c r="O20" s="322"/>
      <c r="P20" s="322"/>
      <c r="Q20" s="322"/>
      <c r="R20" s="322"/>
      <c r="S20" s="322"/>
    </row>
    <row r="21" spans="2:19" ht="21" customHeight="1" thickBot="1">
      <c r="B21" s="648"/>
      <c r="C21" s="648"/>
      <c r="D21" s="648"/>
      <c r="E21" s="648"/>
      <c r="F21" s="648"/>
      <c r="G21" s="627"/>
      <c r="H21" s="627"/>
      <c r="I21" s="627"/>
      <c r="J21" s="671"/>
      <c r="M21" s="322"/>
      <c r="N21" s="322"/>
      <c r="O21" s="322"/>
      <c r="P21" s="322"/>
      <c r="Q21" s="322"/>
      <c r="R21" s="322"/>
      <c r="S21" s="322"/>
    </row>
    <row r="22" spans="2:19" ht="21" customHeight="1" thickTop="1" thickBot="1">
      <c r="B22" s="466"/>
      <c r="C22" s="466"/>
      <c r="D22" s="466"/>
      <c r="E22" s="466"/>
      <c r="F22" s="466"/>
      <c r="G22" s="401">
        <f>SUM(G12:G21)</f>
        <v>0</v>
      </c>
      <c r="H22" s="401">
        <f>SUM(H12:H21)</f>
        <v>0</v>
      </c>
      <c r="I22" s="401">
        <f>SUM(I12:I21)</f>
        <v>0</v>
      </c>
      <c r="J22" s="563">
        <f>SUM(J12:J21)</f>
        <v>0</v>
      </c>
      <c r="M22" s="322"/>
      <c r="N22" s="322"/>
      <c r="O22" s="322"/>
      <c r="P22" s="322"/>
      <c r="Q22" s="322"/>
      <c r="R22" s="322"/>
      <c r="S22" s="322"/>
    </row>
    <row r="23" spans="2:19" ht="13.8" thickTop="1">
      <c r="M23" s="322"/>
      <c r="N23" s="322"/>
      <c r="O23" s="322"/>
      <c r="P23" s="322"/>
      <c r="Q23" s="322"/>
      <c r="R23" s="322"/>
      <c r="S23" s="322"/>
    </row>
    <row r="24" spans="2:19">
      <c r="M24" s="322"/>
      <c r="N24" s="322"/>
      <c r="O24" s="322"/>
      <c r="P24" s="322"/>
      <c r="Q24" s="322"/>
      <c r="R24" s="322"/>
      <c r="S24" s="322"/>
    </row>
    <row r="25" spans="2:19">
      <c r="M25" s="322"/>
      <c r="N25" s="322"/>
      <c r="O25" s="322"/>
      <c r="P25" s="322"/>
      <c r="Q25" s="322"/>
      <c r="R25" s="322"/>
      <c r="S25" s="322"/>
    </row>
    <row r="26" spans="2:19">
      <c r="M26" s="322"/>
      <c r="N26" s="322"/>
      <c r="O26" s="322"/>
      <c r="P26" s="322"/>
      <c r="Q26" s="322"/>
      <c r="R26" s="322"/>
      <c r="S26" s="322"/>
    </row>
    <row r="27" spans="2:19">
      <c r="M27" s="322"/>
      <c r="N27" s="322"/>
      <c r="O27" s="322"/>
      <c r="P27" s="322"/>
      <c r="Q27" s="322"/>
      <c r="R27" s="322"/>
      <c r="S27" s="322"/>
    </row>
    <row r="28" spans="2:19" ht="22.8">
      <c r="B28" s="1759" t="str">
        <f>UPPER('KEY INPUTS'!D52)&amp;" UTILITY  CAPITAL  FUND"</f>
        <v xml:space="preserve"> UTILITY  CAPITAL  FUND</v>
      </c>
      <c r="C28" s="1759"/>
      <c r="D28" s="1759"/>
      <c r="E28" s="1759"/>
      <c r="F28" s="1759"/>
      <c r="G28" s="1759"/>
      <c r="H28" s="1759"/>
      <c r="I28" s="1759"/>
      <c r="J28" s="1759"/>
    </row>
    <row r="29" spans="2:19" ht="22.8">
      <c r="B29" s="1770" t="s">
        <v>193</v>
      </c>
      <c r="C29" s="1770"/>
      <c r="D29" s="1770"/>
      <c r="E29" s="1770"/>
      <c r="F29" s="1770"/>
      <c r="G29" s="1770"/>
      <c r="H29" s="1770"/>
      <c r="I29" s="1770"/>
      <c r="J29" s="1770"/>
    </row>
    <row r="31" spans="2:19" ht="15.6">
      <c r="B31" s="1773" t="str">
        <f>"YEAR  "&amp;TEXT('KEY INPUTS'!D34,"0")&amp;""</f>
        <v>YEAR  2019</v>
      </c>
      <c r="C31" s="1773"/>
      <c r="D31" s="1773"/>
      <c r="E31" s="1773"/>
      <c r="F31" s="1773"/>
      <c r="G31" s="1773"/>
      <c r="H31" s="1773"/>
      <c r="I31" s="1773"/>
      <c r="J31" s="1773"/>
    </row>
    <row r="32" spans="2:19" ht="13.8" thickBot="1"/>
    <row r="33" spans="2:10" ht="28.5" customHeight="1" thickTop="1" thickBot="1">
      <c r="B33" s="475"/>
      <c r="C33" s="475"/>
      <c r="D33" s="475"/>
      <c r="E33" s="475"/>
      <c r="F33" s="475"/>
      <c r="G33" s="475"/>
      <c r="H33" s="475"/>
      <c r="I33" s="403" t="s">
        <v>125</v>
      </c>
      <c r="J33" s="1007" t="s">
        <v>126</v>
      </c>
    </row>
    <row r="34" spans="2:10" ht="21" customHeight="1" thickTop="1">
      <c r="B34" s="707" t="str">
        <f>'KEY INPUTS'!D25</f>
        <v>Balance - January 1, 2019</v>
      </c>
      <c r="C34" s="457"/>
      <c r="D34" s="457"/>
      <c r="E34" s="457"/>
      <c r="F34" s="457"/>
      <c r="G34" s="457"/>
      <c r="H34" s="457"/>
      <c r="I34" s="469" t="s">
        <v>787</v>
      </c>
      <c r="J34" s="638"/>
    </row>
    <row r="35" spans="2:10" ht="21" customHeight="1">
      <c r="B35" s="402" t="s">
        <v>195</v>
      </c>
      <c r="C35" s="402"/>
      <c r="D35" s="402"/>
      <c r="E35" s="402"/>
      <c r="F35" s="402"/>
      <c r="G35" s="402"/>
      <c r="H35" s="402"/>
      <c r="I35" s="310" t="s">
        <v>787</v>
      </c>
      <c r="J35" s="578"/>
    </row>
    <row r="36" spans="2:10" ht="21" customHeight="1">
      <c r="B36" s="402" t="s">
        <v>196</v>
      </c>
      <c r="C36" s="402"/>
      <c r="D36" s="402"/>
      <c r="E36" s="402"/>
      <c r="F36" s="402"/>
      <c r="G36" s="402"/>
      <c r="H36" s="402"/>
      <c r="I36" s="310" t="s">
        <v>787</v>
      </c>
      <c r="J36" s="578"/>
    </row>
    <row r="37" spans="2:10" ht="21" customHeight="1">
      <c r="B37" s="648" t="s">
        <v>3493</v>
      </c>
      <c r="C37" s="648"/>
      <c r="D37" s="648"/>
      <c r="E37" s="648"/>
      <c r="F37" s="648"/>
      <c r="G37" s="648"/>
      <c r="H37" s="402"/>
      <c r="I37" s="374"/>
      <c r="J37" s="578"/>
    </row>
    <row r="38" spans="2:10" ht="21" customHeight="1">
      <c r="B38" s="648"/>
      <c r="C38" s="648"/>
      <c r="D38" s="648"/>
      <c r="E38" s="648"/>
      <c r="F38" s="648"/>
      <c r="G38" s="648"/>
      <c r="H38" s="402"/>
      <c r="I38" s="374"/>
      <c r="J38" s="578"/>
    </row>
    <row r="39" spans="2:10" ht="21" customHeight="1">
      <c r="B39" s="648"/>
      <c r="C39" s="648"/>
      <c r="D39" s="648"/>
      <c r="E39" s="648"/>
      <c r="F39" s="648"/>
      <c r="G39" s="648"/>
      <c r="H39" s="402"/>
      <c r="I39" s="374"/>
      <c r="J39" s="578"/>
    </row>
    <row r="40" spans="2:10" ht="21" customHeight="1">
      <c r="B40" s="402" t="s">
        <v>3453</v>
      </c>
      <c r="C40" s="402"/>
      <c r="D40" s="402"/>
      <c r="E40" s="402"/>
      <c r="F40" s="402"/>
      <c r="G40" s="402"/>
      <c r="H40" s="402"/>
      <c r="I40" s="374"/>
      <c r="J40" s="264" t="s">
        <v>787</v>
      </c>
    </row>
    <row r="41" spans="2:10" ht="21" customHeight="1">
      <c r="B41" s="406" t="str">
        <f>"Appropriation to "&amp;'KEY INPUTS'!D34&amp;" Budget Reserve"</f>
        <v>Appropriation to 2019 Budget Reserve</v>
      </c>
      <c r="C41" s="402"/>
      <c r="D41" s="402"/>
      <c r="E41" s="402"/>
      <c r="F41" s="402"/>
      <c r="G41" s="562"/>
      <c r="H41" s="402"/>
      <c r="I41" s="575"/>
      <c r="J41" s="264" t="s">
        <v>787</v>
      </c>
    </row>
    <row r="42" spans="2:10" ht="21" customHeight="1">
      <c r="B42" s="402" t="str">
        <f>'KEY INPUTS'!D26</f>
        <v>Balance - December 31, 2019</v>
      </c>
      <c r="C42" s="402"/>
      <c r="D42" s="402"/>
      <c r="E42" s="402"/>
      <c r="F42" s="402"/>
      <c r="G42" s="402"/>
      <c r="H42" s="402"/>
      <c r="I42" s="247">
        <f>SUM(J34:J39)-SUM(I37:I41)</f>
        <v>0</v>
      </c>
      <c r="J42" s="264" t="s">
        <v>787</v>
      </c>
    </row>
    <row r="43" spans="2:10" ht="21" customHeight="1" thickBot="1">
      <c r="I43" s="465">
        <f>SUM(I34:I42)</f>
        <v>0</v>
      </c>
      <c r="J43" s="561">
        <f>SUM(J34:J42)</f>
        <v>0</v>
      </c>
    </row>
    <row r="44" spans="2:10" ht="21" customHeight="1" thickTop="1"/>
    <row r="45" spans="2:10" ht="21" customHeight="1"/>
    <row r="46" spans="2:10" ht="21" customHeight="1"/>
    <row r="47" spans="2:10" ht="21" customHeight="1"/>
    <row r="48" spans="2:10" ht="21" customHeight="1"/>
    <row r="49" spans="2:10" ht="21" customHeight="1"/>
    <row r="52" spans="2:10" ht="13.8">
      <c r="B52" s="1765" t="s">
        <v>3452</v>
      </c>
      <c r="C52" s="1765"/>
      <c r="D52" s="1765"/>
      <c r="E52" s="1765"/>
      <c r="F52" s="1765"/>
      <c r="G52" s="1765"/>
      <c r="H52" s="1765"/>
      <c r="I52" s="1765"/>
      <c r="J52" s="176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8">
    <mergeCell ref="B3:J3"/>
    <mergeCell ref="B28:J28"/>
    <mergeCell ref="B29:J29"/>
    <mergeCell ref="B31:J31"/>
    <mergeCell ref="B52:J52"/>
    <mergeCell ref="B5:J5"/>
    <mergeCell ref="B6:J6"/>
    <mergeCell ref="C9:E9"/>
  </mergeCells>
  <pageMargins left="0.25" right="0.25" top="0.5" bottom="0.5" header="0.25" footer="0.25"/>
  <pageSetup paperSize="5" orientation="portrait" r:id="rId5"/>
  <headerFooter alignWithMargins="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8">
    <tabColor theme="3" tint="0.39997558519241921"/>
  </sheetPr>
  <dimension ref="B1:R57"/>
  <sheetViews>
    <sheetView topLeftCell="A16" zoomScaleNormal="100" zoomScaleSheetLayoutView="80" workbookViewId="0">
      <selection activeCell="H26" sqref="H26"/>
    </sheetView>
  </sheetViews>
  <sheetFormatPr defaultColWidth="8.88671875" defaultRowHeight="13.2"/>
  <cols>
    <col min="1" max="1" width="4.6640625" style="398" customWidth="1"/>
    <col min="2" max="2" width="4.88671875" style="398" customWidth="1"/>
    <col min="3" max="4" width="4.6640625" style="398" customWidth="1"/>
    <col min="5" max="5" width="30.6640625" style="398" customWidth="1"/>
    <col min="6" max="6" width="15.6640625" style="398" customWidth="1"/>
    <col min="7" max="8" width="16.6640625" style="398" customWidth="1"/>
    <col min="9" max="9" width="3.6640625" style="398" bestFit="1" customWidth="1"/>
    <col min="10" max="10" width="13.5546875" style="398" bestFit="1" customWidth="1"/>
    <col min="11" max="16384" width="8.88671875" style="398"/>
  </cols>
  <sheetData>
    <row r="1" spans="2:18">
      <c r="B1" s="1114"/>
      <c r="C1" s="1114"/>
      <c r="D1" s="1114"/>
      <c r="E1" s="1114"/>
      <c r="F1" s="1114"/>
      <c r="G1" s="1114"/>
      <c r="H1" s="1114"/>
    </row>
    <row r="2" spans="2:18">
      <c r="B2" s="1758" t="s">
        <v>37</v>
      </c>
      <c r="C2" s="1758"/>
      <c r="D2" s="1758"/>
      <c r="E2" s="1758"/>
      <c r="F2" s="1758"/>
      <c r="G2" s="1758"/>
      <c r="H2" s="1758"/>
    </row>
    <row r="3" spans="2:18">
      <c r="B3" s="1758" t="s">
        <v>572</v>
      </c>
      <c r="C3" s="1758"/>
      <c r="D3" s="1758"/>
      <c r="E3" s="1758"/>
      <c r="F3" s="1758"/>
      <c r="G3" s="1758"/>
      <c r="H3" s="1758"/>
    </row>
    <row r="4" spans="2:18">
      <c r="B4" s="1114"/>
      <c r="C4" s="1114"/>
      <c r="D4" s="1114"/>
      <c r="E4" s="1114"/>
      <c r="F4" s="1114"/>
      <c r="G4" s="1114"/>
      <c r="H4" s="1114"/>
    </row>
    <row r="5" spans="2:18" ht="22.8">
      <c r="B5" s="1759" t="s">
        <v>543</v>
      </c>
      <c r="C5" s="1759"/>
      <c r="D5" s="1759"/>
      <c r="E5" s="1759"/>
      <c r="F5" s="1759"/>
      <c r="G5" s="1759"/>
      <c r="H5" s="1759"/>
    </row>
    <row r="6" spans="2:18" ht="22.8">
      <c r="B6" s="1759" t="str">
        <f>"TRIAL  BALANCE - "&amp;UPPER('KEY INPUTS'!D53)&amp;"  UTILITY  FUND"</f>
        <v>TRIAL  BALANCE -   UTILITY  FUND</v>
      </c>
      <c r="C6" s="1759"/>
      <c r="D6" s="1759"/>
      <c r="E6" s="1759"/>
      <c r="F6" s="1759"/>
      <c r="G6" s="1759"/>
      <c r="H6" s="1759"/>
    </row>
    <row r="7" spans="2:18" ht="15.6">
      <c r="B7" s="1760" t="str">
        <f>'KEY INPUTS'!D44</f>
        <v>AS  AT  DECEMBER  31, 2019</v>
      </c>
      <c r="C7" s="1761"/>
      <c r="D7" s="1761"/>
      <c r="E7" s="1761"/>
      <c r="F7" s="1761"/>
      <c r="G7" s="1761"/>
      <c r="H7" s="1761"/>
    </row>
    <row r="8" spans="2:18" ht="15.6">
      <c r="B8" s="1766" t="s">
        <v>573</v>
      </c>
      <c r="C8" s="1766"/>
      <c r="D8" s="1766"/>
      <c r="E8" s="1766"/>
      <c r="F8" s="1766"/>
      <c r="G8" s="1766"/>
      <c r="H8" s="1766"/>
    </row>
    <row r="9" spans="2:18">
      <c r="B9" s="1767" t="s">
        <v>79</v>
      </c>
      <c r="C9" s="1767"/>
      <c r="D9" s="1767"/>
      <c r="E9" s="1767"/>
      <c r="F9" s="1767"/>
      <c r="G9" s="1767"/>
      <c r="H9" s="1767"/>
    </row>
    <row r="10" spans="2:18" ht="15" customHeight="1" thickBot="1">
      <c r="B10" s="1768" t="s">
        <v>80</v>
      </c>
      <c r="C10" s="1768"/>
      <c r="D10" s="1768"/>
      <c r="E10" s="1768"/>
      <c r="F10" s="1768"/>
      <c r="G10" s="1768"/>
      <c r="H10" s="1768"/>
    </row>
    <row r="11" spans="2:18" ht="36" customHeight="1" thickTop="1" thickBot="1">
      <c r="B11" s="1762" t="s">
        <v>124</v>
      </c>
      <c r="C11" s="1762"/>
      <c r="D11" s="1762"/>
      <c r="E11" s="1762"/>
      <c r="F11" s="1763"/>
      <c r="G11" s="1115" t="s">
        <v>125</v>
      </c>
      <c r="H11" s="1116" t="s">
        <v>126</v>
      </c>
      <c r="L11" s="322"/>
      <c r="M11" s="322"/>
      <c r="N11" s="322"/>
      <c r="O11" s="322"/>
      <c r="P11" s="322"/>
      <c r="Q11" s="322"/>
      <c r="R11" s="322"/>
    </row>
    <row r="12" spans="2:18" ht="21" customHeight="1" thickTop="1">
      <c r="B12" s="1114"/>
      <c r="C12" s="1114"/>
      <c r="D12" s="1114"/>
      <c r="E12" s="1114"/>
      <c r="F12" s="1114"/>
      <c r="G12" s="1117"/>
      <c r="H12" s="1118"/>
      <c r="L12" s="322"/>
      <c r="M12" s="322"/>
      <c r="N12" s="322"/>
      <c r="O12" s="322"/>
      <c r="P12" s="322"/>
      <c r="Q12" s="322"/>
      <c r="R12" s="322"/>
    </row>
    <row r="13" spans="2:18" ht="21" customHeight="1">
      <c r="B13" s="690" t="s">
        <v>253</v>
      </c>
      <c r="C13" s="690"/>
      <c r="D13" s="690"/>
      <c r="E13" s="690"/>
      <c r="F13" s="690"/>
      <c r="G13" s="601"/>
      <c r="H13" s="609"/>
      <c r="J13" s="739"/>
      <c r="L13" s="377"/>
      <c r="M13" s="322"/>
      <c r="N13" s="322"/>
      <c r="O13" s="322"/>
      <c r="P13" s="322"/>
      <c r="Q13" s="322"/>
      <c r="R13" s="322"/>
    </row>
    <row r="14" spans="2:18" ht="21" customHeight="1">
      <c r="B14" s="648" t="s">
        <v>419</v>
      </c>
      <c r="C14" s="648"/>
      <c r="D14" s="648"/>
      <c r="E14" s="648"/>
      <c r="F14" s="652"/>
      <c r="G14" s="601"/>
      <c r="H14" s="609"/>
      <c r="J14" s="739"/>
      <c r="L14" s="322"/>
      <c r="M14" s="322"/>
      <c r="N14" s="322"/>
      <c r="O14" s="322"/>
      <c r="P14" s="322"/>
      <c r="Q14" s="322"/>
      <c r="R14" s="322"/>
    </row>
    <row r="15" spans="2:18" ht="21" customHeight="1">
      <c r="B15" s="649"/>
      <c r="C15" s="649"/>
      <c r="D15" s="649"/>
      <c r="E15" s="649"/>
      <c r="F15" s="649"/>
      <c r="G15" s="601"/>
      <c r="H15" s="609"/>
      <c r="L15" s="322"/>
      <c r="M15" s="322"/>
      <c r="N15" s="322"/>
      <c r="O15" s="322"/>
      <c r="P15" s="322"/>
      <c r="Q15" s="322"/>
      <c r="R15" s="322"/>
    </row>
    <row r="16" spans="2:18" ht="21" customHeight="1">
      <c r="B16" s="648" t="s">
        <v>3494</v>
      </c>
      <c r="C16" s="648"/>
      <c r="D16" s="648"/>
      <c r="E16" s="648"/>
      <c r="F16" s="648"/>
      <c r="G16" s="1111"/>
      <c r="H16" s="1111"/>
      <c r="L16" s="322"/>
      <c r="M16" s="322"/>
      <c r="N16" s="322"/>
      <c r="O16" s="322"/>
      <c r="P16" s="322"/>
      <c r="Q16" s="322"/>
      <c r="R16" s="322"/>
    </row>
    <row r="17" spans="2:18" ht="21" customHeight="1">
      <c r="B17" s="648" t="s">
        <v>3494</v>
      </c>
      <c r="C17" s="648"/>
      <c r="D17" s="648"/>
      <c r="E17" s="648"/>
      <c r="F17" s="648"/>
      <c r="G17" s="1111"/>
      <c r="H17" s="1111"/>
      <c r="L17" s="322"/>
      <c r="M17" s="322"/>
      <c r="N17" s="322"/>
      <c r="O17" s="322"/>
      <c r="P17" s="322"/>
      <c r="Q17" s="322"/>
      <c r="R17" s="322"/>
    </row>
    <row r="18" spans="2:18" ht="21" customHeight="1">
      <c r="B18" s="648"/>
      <c r="C18" s="648"/>
      <c r="D18" s="648"/>
      <c r="E18" s="648"/>
      <c r="F18" s="648"/>
      <c r="G18" s="1111"/>
      <c r="H18" s="1111"/>
      <c r="L18" s="322"/>
      <c r="M18" s="322"/>
      <c r="N18" s="322"/>
      <c r="O18" s="322"/>
      <c r="P18" s="322"/>
      <c r="Q18" s="322"/>
      <c r="R18" s="322"/>
    </row>
    <row r="19" spans="2:18" ht="21" customHeight="1">
      <c r="B19" s="1119" t="s">
        <v>3483</v>
      </c>
      <c r="C19" s="1114"/>
      <c r="D19" s="1114"/>
      <c r="E19" s="1114"/>
      <c r="F19" s="1114"/>
      <c r="G19" s="1120"/>
      <c r="H19" s="1121"/>
      <c r="L19" s="322"/>
      <c r="M19" s="322"/>
      <c r="N19" s="322"/>
      <c r="O19" s="322"/>
      <c r="P19" s="322"/>
      <c r="Q19" s="322"/>
      <c r="R19" s="322"/>
    </row>
    <row r="20" spans="2:18" ht="21" customHeight="1">
      <c r="B20" s="690" t="s">
        <v>3484</v>
      </c>
      <c r="C20" s="690"/>
      <c r="D20" s="690"/>
      <c r="E20" s="690"/>
      <c r="F20" s="690"/>
      <c r="G20" s="1122">
        <f>+'47-Utility2'!L24</f>
        <v>0</v>
      </c>
      <c r="H20" s="1123"/>
      <c r="L20" s="322"/>
      <c r="M20" s="322"/>
      <c r="N20" s="322"/>
      <c r="O20" s="322"/>
      <c r="P20" s="322"/>
      <c r="Q20" s="322"/>
      <c r="R20" s="322"/>
    </row>
    <row r="21" spans="2:18" ht="21" customHeight="1">
      <c r="B21" s="690" t="s">
        <v>3485</v>
      </c>
      <c r="C21" s="690"/>
      <c r="D21" s="690"/>
      <c r="E21" s="690"/>
      <c r="F21" s="690"/>
      <c r="G21" s="689">
        <f>+'47-Utility2'!L54</f>
        <v>0</v>
      </c>
      <c r="H21" s="1114"/>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J23" s="739"/>
      <c r="L23" s="322"/>
      <c r="M23" s="322"/>
      <c r="N23" s="322"/>
      <c r="O23" s="322"/>
      <c r="P23" s="322"/>
      <c r="Q23" s="322"/>
      <c r="R23" s="322"/>
    </row>
    <row r="24" spans="2:18" ht="21" customHeight="1">
      <c r="B24" s="648"/>
      <c r="C24" s="648"/>
      <c r="D24" s="648"/>
      <c r="E24" s="648"/>
      <c r="F24" s="648"/>
      <c r="G24" s="601"/>
      <c r="H24" s="609"/>
      <c r="J24" s="73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90" t="s">
        <v>3486</v>
      </c>
      <c r="C26" s="690"/>
      <c r="D26" s="690"/>
      <c r="E26" s="690"/>
      <c r="F26" s="690"/>
      <c r="G26" s="689"/>
      <c r="H26" s="1124"/>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1125" t="s">
        <v>3487</v>
      </c>
      <c r="C30" s="690"/>
      <c r="D30" s="690"/>
      <c r="E30" s="690"/>
      <c r="F30" s="690"/>
      <c r="G30" s="689"/>
      <c r="H30" s="1124"/>
    </row>
    <row r="31" spans="2:18" ht="21" customHeight="1">
      <c r="B31" s="690" t="s">
        <v>3410</v>
      </c>
      <c r="C31" s="690"/>
      <c r="D31" s="690"/>
      <c r="E31" s="690"/>
      <c r="F31" s="690"/>
      <c r="G31" s="601"/>
      <c r="H31" s="1124">
        <f>+'44-Utility2'!I37</f>
        <v>0</v>
      </c>
      <c r="J31" s="739"/>
    </row>
    <row r="32" spans="2:18" ht="21" customHeight="1">
      <c r="B32" s="690" t="s">
        <v>3409</v>
      </c>
      <c r="C32" s="690"/>
      <c r="D32" s="690"/>
      <c r="E32" s="690"/>
      <c r="F32" s="690"/>
      <c r="G32" s="601"/>
      <c r="H32" s="609"/>
    </row>
    <row r="33" spans="2:10" ht="21" customHeight="1">
      <c r="B33" s="690" t="s">
        <v>3408</v>
      </c>
      <c r="C33" s="690"/>
      <c r="D33" s="690"/>
      <c r="E33" s="690"/>
      <c r="F33" s="690"/>
      <c r="G33" s="601"/>
      <c r="H33" s="1126">
        <f>+'49-Utility2'!I29+'49a-Utility2'!I29+'50-Utility2'!M24+'49a.1-Utility2 '!I29</f>
        <v>0</v>
      </c>
      <c r="J33" s="739"/>
    </row>
    <row r="34" spans="2:10" ht="21" customHeight="1">
      <c r="B34" s="648" t="s">
        <v>3495</v>
      </c>
      <c r="C34" s="648"/>
      <c r="D34" s="648"/>
      <c r="E34" s="648"/>
      <c r="F34" s="652"/>
      <c r="G34" s="601"/>
      <c r="H34" s="609"/>
    </row>
    <row r="35" spans="2:10" ht="21" customHeight="1">
      <c r="B35" s="649"/>
      <c r="C35" s="649"/>
      <c r="D35" s="649"/>
      <c r="E35" s="649"/>
      <c r="F35" s="649"/>
      <c r="G35" s="1112"/>
      <c r="H35" s="1111"/>
    </row>
    <row r="36" spans="2:10" ht="21" customHeight="1">
      <c r="B36" s="648"/>
      <c r="C36" s="648"/>
      <c r="D36" s="648"/>
      <c r="E36" s="648"/>
      <c r="F36" s="648"/>
      <c r="G36" s="601"/>
      <c r="H36" s="609"/>
    </row>
    <row r="37" spans="2:10" ht="21" customHeight="1">
      <c r="B37" s="648"/>
      <c r="C37" s="649"/>
      <c r="D37" s="648"/>
      <c r="E37" s="648"/>
      <c r="F37" s="672"/>
      <c r="G37" s="1113"/>
      <c r="H37" s="631"/>
    </row>
    <row r="38" spans="2:10" ht="21" customHeight="1" thickBot="1">
      <c r="B38" s="648"/>
      <c r="C38" s="648"/>
      <c r="D38" s="648"/>
      <c r="E38" s="648"/>
      <c r="F38" s="648"/>
      <c r="G38" s="631"/>
      <c r="H38" s="633"/>
    </row>
    <row r="39" spans="2:10" ht="21" customHeight="1" thickTop="1">
      <c r="B39" s="690"/>
      <c r="C39" s="690" t="s">
        <v>3407</v>
      </c>
      <c r="D39" s="690"/>
      <c r="E39" s="690"/>
      <c r="F39" s="1284"/>
      <c r="G39" s="1285"/>
      <c r="H39" s="1216">
        <f>SUM(H28:H38)</f>
        <v>0</v>
      </c>
      <c r="I39" s="398" t="s">
        <v>997</v>
      </c>
    </row>
    <row r="40" spans="2:10" ht="21" customHeight="1">
      <c r="B40" s="1128" t="s">
        <v>3496</v>
      </c>
      <c r="C40" s="1128"/>
      <c r="D40" s="1128"/>
      <c r="E40" s="1128"/>
      <c r="F40" s="1128"/>
      <c r="G40" s="1123"/>
      <c r="H40" s="631"/>
    </row>
    <row r="41" spans="2:10" ht="21" customHeight="1">
      <c r="B41" s="690"/>
      <c r="C41" s="690"/>
      <c r="D41" s="690"/>
      <c r="E41" s="690"/>
      <c r="F41" s="690"/>
      <c r="G41" s="689"/>
      <c r="H41" s="1124"/>
    </row>
    <row r="42" spans="2:10" ht="21" customHeight="1">
      <c r="B42" s="690" t="s">
        <v>777</v>
      </c>
      <c r="C42" s="690"/>
      <c r="D42" s="690"/>
      <c r="E42" s="690"/>
      <c r="F42" s="690"/>
      <c r="G42" s="689"/>
      <c r="H42" s="1124">
        <f>+'46-Utility2 '!K27</f>
        <v>0</v>
      </c>
    </row>
    <row r="43" spans="2:10" ht="21" customHeight="1" thickBot="1">
      <c r="B43" s="690"/>
      <c r="C43" s="690"/>
      <c r="D43" s="690"/>
      <c r="E43" s="690"/>
      <c r="F43" s="690"/>
      <c r="G43" s="1129"/>
      <c r="H43" s="1130"/>
    </row>
    <row r="44" spans="2:10" ht="21" customHeight="1" thickBot="1">
      <c r="B44" s="690" t="s">
        <v>3497</v>
      </c>
      <c r="C44" s="690"/>
      <c r="D44" s="690"/>
      <c r="E44" s="690"/>
      <c r="F44" s="690"/>
      <c r="G44" s="1131">
        <f>SUM(G12:G43)</f>
        <v>0</v>
      </c>
      <c r="H44" s="1132">
        <f>SUM(H39:H43)</f>
        <v>0</v>
      </c>
      <c r="J44" s="399">
        <f>G44-H44</f>
        <v>0</v>
      </c>
    </row>
    <row r="45" spans="2:10" ht="13.8" thickTop="1">
      <c r="B45" s="1864" t="s">
        <v>127</v>
      </c>
      <c r="C45" s="1864"/>
      <c r="D45" s="1864"/>
      <c r="E45" s="1864"/>
      <c r="F45" s="1864"/>
      <c r="G45" s="1864"/>
      <c r="H45" s="1864"/>
    </row>
    <row r="46" spans="2:10">
      <c r="B46" s="781"/>
      <c r="C46" s="781"/>
      <c r="D46" s="781"/>
      <c r="E46" s="781"/>
      <c r="F46" s="781"/>
      <c r="G46" s="781"/>
      <c r="H46" s="781"/>
    </row>
    <row r="47" spans="2:10">
      <c r="B47" s="781"/>
      <c r="C47" s="781"/>
      <c r="D47" s="781"/>
      <c r="E47" s="781"/>
      <c r="F47" s="781"/>
      <c r="G47" s="781"/>
      <c r="H47" s="781"/>
    </row>
    <row r="48" spans="2:10">
      <c r="B48" s="781"/>
      <c r="C48" s="781"/>
      <c r="D48" s="781"/>
      <c r="E48" s="781"/>
      <c r="F48" s="781"/>
      <c r="G48" s="781"/>
      <c r="H48" s="781"/>
    </row>
    <row r="49" spans="2:8">
      <c r="B49" s="781"/>
      <c r="C49" s="781"/>
      <c r="D49" s="781"/>
      <c r="E49" s="781"/>
      <c r="F49" s="781"/>
      <c r="G49" s="781"/>
      <c r="H49" s="781"/>
    </row>
    <row r="50" spans="2:8" ht="13.8">
      <c r="B50" s="1765" t="s">
        <v>3405</v>
      </c>
      <c r="C50" s="1765"/>
      <c r="D50" s="1765"/>
      <c r="E50" s="1765"/>
      <c r="F50" s="1765"/>
      <c r="G50" s="1765"/>
      <c r="H50" s="1765"/>
    </row>
    <row r="54" spans="2:8">
      <c r="H54" s="399"/>
    </row>
    <row r="57" spans="2:8">
      <c r="H57" s="399">
        <f>+H44-G44</f>
        <v>0</v>
      </c>
    </row>
  </sheetData>
  <sheetProtection algorithmName="SHA-512" hashValue="9kXWsmKkfGTR/0ZxI/g5qdF1y0V4A+gbQD2L5025hBCwgQDbnhZTDji8xN0rzfB9Et0gsrQg6zgcipvJS2A91A==" saltValue="aDiJ1rS0eAzYrvJtM2dBcw==" spinCount="100000" sheet="1" objects="1" scenarios="1"/>
  <customSheetViews>
    <customSheetView guid="{AC653BD0-46E3-42CB-9C76-32121A57B65A}" topLeftCell="A16">
      <selection activeCell="H26" sqref="H26"/>
      <pageMargins left="0.25" right="0.25" top="0.5" bottom="0.5" header="0.25" footer="0.25"/>
      <pageSetup paperSize="5" orientation="portrait" r:id="rId1"/>
      <headerFooter alignWithMargins="0"/>
    </customSheetView>
    <customSheetView guid="{B165479B-DC25-403C-9595-F1A88A4AA9A2}" topLeftCell="A16">
      <selection activeCell="H26" sqref="H26"/>
      <pageMargins left="0.25" right="0.25" top="0.5" bottom="0.5" header="0.25" footer="0.25"/>
      <pageSetup paperSize="5" orientation="portrait" r:id="rId2"/>
      <headerFooter alignWithMargins="0"/>
    </customSheetView>
    <customSheetView guid="{A64E4C9E-A3DA-4AAA-8607-F524450B9436}" topLeftCell="A16">
      <selection activeCell="H26" sqref="H26"/>
      <pageMargins left="0.25" right="0.25" top="0.5" bottom="0.5" header="0.25" footer="0.25"/>
      <pageSetup paperSize="5" orientation="portrait" r:id="rId3"/>
      <headerFooter alignWithMargins="0"/>
    </customSheetView>
    <customSheetView guid="{AB4FBD91-4533-473A-9702-569FF6402073}" topLeftCell="A16">
      <selection activeCell="H26" sqref="H26"/>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B3:M48"/>
  <sheetViews>
    <sheetView zoomScaleNormal="100" workbookViewId="0">
      <selection activeCell="B1" sqref="B1"/>
    </sheetView>
  </sheetViews>
  <sheetFormatPr defaultColWidth="9.109375" defaultRowHeight="13.2"/>
  <cols>
    <col min="1" max="1" width="4.6640625" style="322" customWidth="1"/>
    <col min="2" max="2" width="4.88671875" style="322" customWidth="1"/>
    <col min="3" max="4" width="4.6640625" style="322" customWidth="1"/>
    <col min="5" max="5" width="30.6640625" style="322" customWidth="1"/>
    <col min="6" max="6" width="15.6640625" style="322" customWidth="1"/>
    <col min="7" max="8" width="16.6640625" style="322" customWidth="1"/>
    <col min="9" max="12" width="9.109375" style="322"/>
    <col min="13" max="13" width="10.33203125" style="322" bestFit="1" customWidth="1"/>
    <col min="14" max="16384" width="9.109375" style="322"/>
  </cols>
  <sheetData>
    <row r="3" spans="2:11" ht="22.8">
      <c r="B3" s="1549" t="s">
        <v>543</v>
      </c>
      <c r="C3" s="1549"/>
      <c r="D3" s="1549"/>
      <c r="E3" s="1549"/>
      <c r="F3" s="1549"/>
      <c r="G3" s="1549"/>
      <c r="H3" s="1549"/>
    </row>
    <row r="4" spans="2:11" ht="22.8">
      <c r="B4" s="1549" t="s">
        <v>696</v>
      </c>
      <c r="C4" s="1549"/>
      <c r="D4" s="1549"/>
      <c r="E4" s="1549"/>
      <c r="F4" s="1549"/>
      <c r="G4" s="1549"/>
      <c r="H4" s="1549"/>
    </row>
    <row r="5" spans="2:11" ht="17.399999999999999">
      <c r="B5" s="1560" t="s">
        <v>780</v>
      </c>
      <c r="C5" s="1560"/>
      <c r="D5" s="1560"/>
      <c r="E5" s="1560"/>
      <c r="F5" s="1560"/>
      <c r="G5" s="1560"/>
      <c r="H5" s="1560"/>
    </row>
    <row r="6" spans="2:11" ht="15.6">
      <c r="B6" s="1556" t="str">
        <f>'KEY INPUTS'!D44</f>
        <v>AS  AT  DECEMBER  31, 2019</v>
      </c>
      <c r="C6" s="1509"/>
      <c r="D6" s="1509"/>
      <c r="E6" s="1509"/>
      <c r="F6" s="1509"/>
      <c r="G6" s="1509"/>
      <c r="H6" s="1509"/>
    </row>
    <row r="7" spans="2:11" ht="13.8" thickBot="1"/>
    <row r="8" spans="2:11" ht="36" customHeight="1" thickTop="1" thickBot="1">
      <c r="B8" s="1553" t="s">
        <v>124</v>
      </c>
      <c r="C8" s="1553"/>
      <c r="D8" s="1553"/>
      <c r="E8" s="1553"/>
      <c r="F8" s="1554"/>
      <c r="G8" s="4" t="s">
        <v>125</v>
      </c>
      <c r="H8" s="734" t="s">
        <v>126</v>
      </c>
    </row>
    <row r="9" spans="2:11" ht="21" customHeight="1" thickTop="1">
      <c r="B9" s="854" t="s">
        <v>3531</v>
      </c>
      <c r="C9" s="839"/>
      <c r="D9" s="839"/>
      <c r="E9" s="839"/>
      <c r="F9" s="839"/>
      <c r="G9" s="840">
        <f>+'6.2-Trial Bal-Trust Fnds'!G44</f>
        <v>3157559.72</v>
      </c>
      <c r="H9" s="841">
        <f>+'6.2-Trial Bal-Trust Fnds'!H44</f>
        <v>3157559.72</v>
      </c>
      <c r="I9" s="741"/>
    </row>
    <row r="10" spans="2:11" ht="21" customHeight="1">
      <c r="B10" s="843" t="s">
        <v>3530</v>
      </c>
      <c r="C10" s="640"/>
      <c r="D10" s="640"/>
      <c r="E10" s="640"/>
      <c r="F10" s="640"/>
      <c r="G10" s="842"/>
      <c r="H10" s="663"/>
    </row>
    <row r="11" spans="2:11" ht="21" customHeight="1">
      <c r="B11" s="566"/>
      <c r="C11" s="566"/>
      <c r="D11" s="566"/>
      <c r="E11" s="566"/>
      <c r="F11" s="566"/>
      <c r="G11" s="374"/>
      <c r="H11" s="578"/>
      <c r="I11" s="741"/>
    </row>
    <row r="12" spans="2:11" ht="21" customHeight="1">
      <c r="B12" s="566"/>
      <c r="C12" s="566"/>
      <c r="D12" s="566"/>
      <c r="E12" s="566"/>
      <c r="F12" s="566"/>
      <c r="G12" s="374"/>
      <c r="H12" s="578"/>
    </row>
    <row r="13" spans="2:11" ht="21" customHeight="1">
      <c r="B13" s="566"/>
      <c r="C13" s="566"/>
      <c r="D13" s="566"/>
      <c r="E13" s="566"/>
      <c r="F13" s="566"/>
      <c r="G13" s="374"/>
      <c r="H13" s="578"/>
    </row>
    <row r="14" spans="2:11" ht="21" customHeight="1">
      <c r="B14" s="566"/>
      <c r="C14" s="566"/>
      <c r="D14" s="566"/>
      <c r="E14" s="566"/>
      <c r="F14" s="566"/>
      <c r="G14" s="374"/>
      <c r="H14" s="578"/>
      <c r="K14" s="377"/>
    </row>
    <row r="15" spans="2:11" ht="21" customHeight="1">
      <c r="B15" s="566"/>
      <c r="C15" s="566"/>
      <c r="D15" s="566"/>
      <c r="E15" s="566"/>
      <c r="F15" s="566"/>
      <c r="G15" s="374"/>
      <c r="H15" s="578"/>
    </row>
    <row r="16" spans="2:11" ht="21" customHeight="1">
      <c r="B16" s="566"/>
      <c r="C16" s="566"/>
      <c r="D16" s="566"/>
      <c r="E16" s="566"/>
      <c r="F16" s="566"/>
      <c r="G16" s="374"/>
      <c r="H16" s="578"/>
    </row>
    <row r="17" spans="2:8" ht="21" customHeight="1">
      <c r="B17" s="566"/>
      <c r="C17" s="566"/>
      <c r="D17" s="566"/>
      <c r="E17" s="566"/>
      <c r="F17" s="566"/>
      <c r="G17" s="374"/>
      <c r="H17" s="578"/>
    </row>
    <row r="18" spans="2:8" ht="21" customHeight="1">
      <c r="B18" s="566"/>
      <c r="C18" s="566"/>
      <c r="D18" s="566"/>
      <c r="E18" s="566"/>
      <c r="F18" s="566"/>
      <c r="G18" s="374"/>
      <c r="H18" s="578"/>
    </row>
    <row r="19" spans="2:8" ht="21" customHeight="1">
      <c r="B19" s="566"/>
      <c r="C19" s="566"/>
      <c r="D19" s="566"/>
      <c r="E19" s="566"/>
      <c r="F19" s="566"/>
      <c r="G19" s="374"/>
      <c r="H19" s="578"/>
    </row>
    <row r="20" spans="2:8" ht="21" customHeight="1">
      <c r="B20" s="566"/>
      <c r="C20" s="566"/>
      <c r="D20" s="566"/>
      <c r="E20" s="566"/>
      <c r="F20" s="566"/>
      <c r="G20" s="374"/>
      <c r="H20" s="578"/>
    </row>
    <row r="21" spans="2:8" ht="21" customHeight="1">
      <c r="B21" s="566"/>
      <c r="C21" s="566"/>
      <c r="D21" s="566"/>
      <c r="E21" s="566"/>
      <c r="F21" s="566"/>
      <c r="G21" s="374"/>
      <c r="H21" s="578"/>
    </row>
    <row r="22" spans="2:8" ht="21" customHeight="1">
      <c r="B22" s="566"/>
      <c r="C22" s="566"/>
      <c r="D22" s="566"/>
      <c r="E22" s="566"/>
      <c r="F22" s="566"/>
      <c r="G22" s="374"/>
      <c r="H22" s="578"/>
    </row>
    <row r="23" spans="2:8" ht="21" customHeight="1">
      <c r="B23" s="566"/>
      <c r="C23" s="566"/>
      <c r="D23" s="566"/>
      <c r="E23" s="566"/>
      <c r="F23" s="566"/>
      <c r="G23" s="374"/>
      <c r="H23" s="578"/>
    </row>
    <row r="24" spans="2:8" ht="21" customHeight="1">
      <c r="B24" s="566"/>
      <c r="C24" s="566"/>
      <c r="D24" s="566"/>
      <c r="E24" s="566"/>
      <c r="F24" s="566"/>
      <c r="G24" s="374"/>
      <c r="H24" s="578"/>
    </row>
    <row r="25" spans="2:8" ht="21" customHeight="1">
      <c r="B25" s="566"/>
      <c r="C25" s="566"/>
      <c r="D25" s="566"/>
      <c r="E25" s="566"/>
      <c r="F25" s="566"/>
      <c r="G25" s="374"/>
      <c r="H25" s="578"/>
    </row>
    <row r="26" spans="2:8" ht="21" customHeight="1">
      <c r="B26" s="566"/>
      <c r="C26" s="566"/>
      <c r="D26" s="566"/>
      <c r="E26" s="566"/>
      <c r="F26" s="566"/>
      <c r="G26" s="374"/>
      <c r="H26" s="578"/>
    </row>
    <row r="27" spans="2:8" ht="21" customHeight="1">
      <c r="B27" s="566"/>
      <c r="C27" s="566"/>
      <c r="D27" s="566"/>
      <c r="E27" s="566"/>
      <c r="F27" s="566"/>
      <c r="G27" s="374"/>
      <c r="H27" s="578"/>
    </row>
    <row r="28" spans="2:8" ht="21" customHeight="1">
      <c r="B28" s="566"/>
      <c r="C28" s="566"/>
      <c r="D28" s="566"/>
      <c r="E28" s="566"/>
      <c r="F28" s="566"/>
      <c r="G28" s="374"/>
      <c r="H28" s="578"/>
    </row>
    <row r="29" spans="2:8" ht="21" customHeight="1">
      <c r="B29" s="566"/>
      <c r="C29" s="566"/>
      <c r="D29" s="566"/>
      <c r="E29" s="566"/>
      <c r="F29" s="566"/>
      <c r="G29" s="374"/>
      <c r="H29" s="578"/>
    </row>
    <row r="30" spans="2:8" ht="21" customHeight="1">
      <c r="B30" s="566"/>
      <c r="C30" s="566"/>
      <c r="D30" s="566"/>
      <c r="E30" s="566"/>
      <c r="F30" s="566"/>
      <c r="G30" s="374"/>
      <c r="H30" s="578"/>
    </row>
    <row r="31" spans="2:8" ht="21" customHeight="1">
      <c r="B31" s="566"/>
      <c r="C31" s="566"/>
      <c r="D31" s="566"/>
      <c r="E31" s="566"/>
      <c r="F31" s="566"/>
      <c r="G31" s="374"/>
      <c r="H31" s="578"/>
    </row>
    <row r="32" spans="2:8" ht="21" customHeight="1">
      <c r="B32" s="566"/>
      <c r="C32" s="566"/>
      <c r="D32" s="566"/>
      <c r="E32" s="566"/>
      <c r="F32" s="566"/>
      <c r="G32" s="374"/>
      <c r="H32" s="578"/>
    </row>
    <row r="33" spans="2:13" ht="21" customHeight="1">
      <c r="B33" s="566"/>
      <c r="C33" s="566"/>
      <c r="D33" s="566"/>
      <c r="E33" s="566"/>
      <c r="F33" s="566"/>
      <c r="G33" s="374"/>
      <c r="H33" s="578"/>
      <c r="M33" s="325"/>
    </row>
    <row r="34" spans="2:13" ht="21" customHeight="1">
      <c r="B34" s="566"/>
      <c r="C34" s="566"/>
      <c r="D34" s="566"/>
      <c r="E34" s="566"/>
      <c r="F34" s="566"/>
      <c r="G34" s="374"/>
      <c r="H34" s="578"/>
    </row>
    <row r="35" spans="2:13" ht="21" customHeight="1">
      <c r="B35" s="566"/>
      <c r="C35" s="566"/>
      <c r="D35" s="566"/>
      <c r="E35" s="566"/>
      <c r="F35" s="566"/>
      <c r="G35" s="374"/>
      <c r="H35" s="578"/>
    </row>
    <row r="36" spans="2:13" ht="21" customHeight="1">
      <c r="B36" s="566"/>
      <c r="C36" s="566"/>
      <c r="D36" s="566"/>
      <c r="E36" s="566"/>
      <c r="F36" s="566"/>
      <c r="G36" s="374"/>
      <c r="H36" s="578"/>
    </row>
    <row r="37" spans="2:13" ht="21" customHeight="1">
      <c r="B37" s="566"/>
      <c r="C37" s="566"/>
      <c r="D37" s="566"/>
      <c r="E37" s="566"/>
      <c r="F37" s="566"/>
      <c r="G37" s="374"/>
      <c r="H37" s="578"/>
    </row>
    <row r="38" spans="2:13" ht="21" customHeight="1">
      <c r="B38" s="566"/>
      <c r="C38" s="566"/>
      <c r="D38" s="566"/>
      <c r="E38" s="566"/>
      <c r="F38" s="566"/>
      <c r="G38" s="374"/>
      <c r="H38" s="578"/>
    </row>
    <row r="39" spans="2:13" ht="21" customHeight="1">
      <c r="B39" s="566"/>
      <c r="C39" s="566"/>
      <c r="D39" s="566"/>
      <c r="E39" s="566"/>
      <c r="F39" s="566"/>
      <c r="G39" s="374"/>
      <c r="H39" s="578"/>
    </row>
    <row r="40" spans="2:13" ht="21" customHeight="1">
      <c r="B40" s="566"/>
      <c r="C40" s="566"/>
      <c r="D40" s="566"/>
      <c r="E40" s="566"/>
      <c r="F40" s="566"/>
      <c r="G40" s="374"/>
      <c r="H40" s="578"/>
    </row>
    <row r="41" spans="2:13" ht="21" customHeight="1">
      <c r="B41" s="566"/>
      <c r="C41" s="566"/>
      <c r="D41" s="566"/>
      <c r="E41" s="566"/>
      <c r="F41" s="566"/>
      <c r="G41" s="374"/>
      <c r="H41" s="578"/>
    </row>
    <row r="42" spans="2:13" ht="21" customHeight="1">
      <c r="B42" s="566"/>
      <c r="C42" s="566"/>
      <c r="D42" s="566"/>
      <c r="E42" s="566"/>
      <c r="F42" s="566"/>
      <c r="G42" s="374"/>
      <c r="H42" s="578"/>
    </row>
    <row r="43" spans="2:13" ht="21" customHeight="1">
      <c r="B43" s="566"/>
      <c r="C43" s="566"/>
      <c r="D43" s="566"/>
      <c r="E43" s="566"/>
      <c r="F43" s="566"/>
      <c r="G43" s="374"/>
      <c r="H43" s="578"/>
    </row>
    <row r="44" spans="2:13" ht="21" customHeight="1">
      <c r="B44" s="843" t="s">
        <v>1000</v>
      </c>
      <c r="C44" s="640"/>
      <c r="D44" s="640"/>
      <c r="E44" s="640"/>
      <c r="F44" s="640"/>
      <c r="G44" s="842">
        <f>SUM(G9:G43)</f>
        <v>3157559.72</v>
      </c>
      <c r="H44" s="851">
        <f>SUM(H9:H43)</f>
        <v>3157559.72</v>
      </c>
    </row>
    <row r="45" spans="2:13">
      <c r="B45" s="1561" t="s">
        <v>127</v>
      </c>
      <c r="C45" s="1561"/>
      <c r="D45" s="1561"/>
      <c r="E45" s="1561"/>
      <c r="F45" s="1561"/>
      <c r="G45" s="1561"/>
      <c r="H45" s="1561"/>
    </row>
    <row r="46" spans="2:13">
      <c r="B46" s="961"/>
      <c r="C46" s="961"/>
      <c r="D46" s="961"/>
      <c r="E46" s="961"/>
      <c r="F46" s="961"/>
      <c r="G46" s="961"/>
      <c r="H46" s="961"/>
    </row>
    <row r="47" spans="2:13">
      <c r="B47" s="853"/>
      <c r="C47" s="853"/>
      <c r="D47" s="853"/>
      <c r="E47" s="853"/>
      <c r="F47" s="853"/>
      <c r="G47" s="853"/>
      <c r="H47" s="853"/>
    </row>
    <row r="48" spans="2:13" ht="13.8">
      <c r="B48" s="1562" t="s">
        <v>3534</v>
      </c>
      <c r="C48" s="1562"/>
      <c r="D48" s="1562"/>
      <c r="E48" s="1562"/>
      <c r="F48" s="1562"/>
      <c r="G48" s="1562"/>
      <c r="H48" s="1562"/>
    </row>
  </sheetData>
  <sheetProtection algorithmName="SHA-512" hashValue="wgVZFwwhGsomk7e64xfsqxGR/RG2b6CXt1+BTXINWfWfiBgA9Jh/XwYV1ltRMErgLI9cS12u6hhOGIrbTfvS5g==" saltValue="RYh20kgB2C7r2qQ/5xH6gg==" spinCount="100000" sheet="1" objects="1" scenarios="1"/>
  <customSheetViews>
    <customSheetView guid="{AC653BD0-46E3-42CB-9C76-32121A57B65A}" state="hidden">
      <selection activeCell="B1" sqref="B1"/>
      <pageMargins left="0.25" right="0.25" top="0.5" bottom="0.5" header="0.25" footer="0.25"/>
      <pageSetup paperSize="5" orientation="portrait" r:id="rId1"/>
      <headerFooter alignWithMargins="0"/>
    </customSheetView>
    <customSheetView guid="{B165479B-DC25-403C-9595-F1A88A4AA9A2}" state="hidden">
      <selection activeCell="B1" sqref="B1"/>
      <pageMargins left="0.25" right="0.25" top="0.5" bottom="0.5" header="0.25" footer="0.25"/>
      <pageSetup paperSize="5" orientation="portrait" r:id="rId2"/>
      <headerFooter alignWithMargins="0"/>
    </customSheetView>
    <customSheetView guid="{A64E4C9E-A3DA-4AAA-8607-F524450B9436}" state="hidden">
      <selection activeCell="B1" sqref="B1"/>
      <pageMargins left="0.25" right="0.25" top="0.5" bottom="0.5" header="0.25" footer="0.25"/>
      <pageSetup paperSize="5" orientation="portrait" r:id="rId3"/>
      <headerFooter alignWithMargins="0"/>
    </customSheetView>
    <customSheetView guid="{AB4FBD91-4533-473A-9702-569FF6402073}" state="hidden">
      <selection activeCell="B1" sqref="B1"/>
      <pageMargins left="0.25" right="0.25" top="0.5" bottom="0.5" header="0.25" footer="0.25"/>
      <pageSetup paperSize="5" orientation="portrait" r:id="rId4"/>
      <headerFooter alignWithMargins="0"/>
    </customSheetView>
  </customSheetViews>
  <mergeCells count="7">
    <mergeCell ref="B48:H48"/>
    <mergeCell ref="B3:H3"/>
    <mergeCell ref="B4:H4"/>
    <mergeCell ref="B5:H5"/>
    <mergeCell ref="B6:H6"/>
    <mergeCell ref="B8:F8"/>
    <mergeCell ref="B45:H45"/>
  </mergeCells>
  <pageMargins left="0.25" right="0.25" top="0.5" bottom="0.5" header="0.25" footer="0.25"/>
  <pageSetup paperSize="5" orientation="portrait" r:id="rId5"/>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79">
    <tabColor theme="3" tint="0.39997558519241921"/>
  </sheetPr>
  <dimension ref="B1:Q55"/>
  <sheetViews>
    <sheetView zoomScaleNormal="100" zoomScaleSheetLayoutView="80" workbookViewId="0">
      <selection activeCell="B1" sqref="B1"/>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1" spans="2:17">
      <c r="B1" s="775"/>
      <c r="C1" s="775"/>
      <c r="D1" s="775"/>
      <c r="E1" s="775"/>
      <c r="F1" s="775"/>
      <c r="G1" s="775"/>
      <c r="H1" s="775"/>
    </row>
    <row r="2" spans="2:17">
      <c r="B2" s="1911" t="s">
        <v>37</v>
      </c>
      <c r="C2" s="1911"/>
      <c r="D2" s="1911"/>
      <c r="E2" s="1911"/>
      <c r="F2" s="1911"/>
      <c r="G2" s="1911"/>
      <c r="H2" s="1911"/>
    </row>
    <row r="3" spans="2:17">
      <c r="B3" s="1911" t="s">
        <v>572</v>
      </c>
      <c r="C3" s="1911"/>
      <c r="D3" s="1911"/>
      <c r="E3" s="1911"/>
      <c r="F3" s="1911"/>
      <c r="G3" s="1911"/>
      <c r="H3" s="1911"/>
    </row>
    <row r="4" spans="2:17">
      <c r="B4" s="775"/>
      <c r="C4" s="775"/>
      <c r="D4" s="775"/>
      <c r="E4" s="775"/>
      <c r="F4" s="775"/>
      <c r="G4" s="775"/>
      <c r="H4" s="775"/>
    </row>
    <row r="5" spans="2:17" ht="22.8">
      <c r="B5" s="1902" t="s">
        <v>543</v>
      </c>
      <c r="C5" s="1902"/>
      <c r="D5" s="1902"/>
      <c r="E5" s="1902"/>
      <c r="F5" s="1902"/>
      <c r="G5" s="1902"/>
      <c r="H5" s="1902"/>
    </row>
    <row r="6" spans="2:17" ht="22.8">
      <c r="B6" s="1902" t="str">
        <f>"TRIAL  BALANCE - "&amp;UPPER('KEY INPUTS'!D53)&amp;"  UTILITY  FUND (cont'd)"</f>
        <v>TRIAL  BALANCE -   UTILITY  FUND (cont'd)</v>
      </c>
      <c r="C6" s="1902"/>
      <c r="D6" s="1902"/>
      <c r="E6" s="1902"/>
      <c r="F6" s="1902"/>
      <c r="G6" s="1902"/>
      <c r="H6" s="1902"/>
    </row>
    <row r="7" spans="2:17" ht="15.6">
      <c r="B7" s="1912" t="str">
        <f>'KEY INPUTS'!D44</f>
        <v>AS  AT  DECEMBER  31, 2019</v>
      </c>
      <c r="C7" s="1850"/>
      <c r="D7" s="1850"/>
      <c r="E7" s="1850"/>
      <c r="F7" s="1850"/>
      <c r="G7" s="1850"/>
      <c r="H7" s="1850"/>
    </row>
    <row r="8" spans="2:17" ht="15.6">
      <c r="B8" s="1910" t="s">
        <v>573</v>
      </c>
      <c r="C8" s="1910"/>
      <c r="D8" s="1910"/>
      <c r="E8" s="1910"/>
      <c r="F8" s="1910"/>
      <c r="G8" s="1910"/>
      <c r="H8" s="1910"/>
    </row>
    <row r="9" spans="2:17">
      <c r="B9" s="1913" t="s">
        <v>79</v>
      </c>
      <c r="C9" s="1913"/>
      <c r="D9" s="1913"/>
      <c r="E9" s="1913"/>
      <c r="F9" s="1913"/>
      <c r="G9" s="1913"/>
      <c r="H9" s="1913"/>
    </row>
    <row r="10" spans="2:17" ht="15" customHeight="1" thickBot="1">
      <c r="B10" s="1914" t="s">
        <v>80</v>
      </c>
      <c r="C10" s="1914"/>
      <c r="D10" s="1914"/>
      <c r="E10" s="1914"/>
      <c r="F10" s="1914"/>
      <c r="G10" s="1914"/>
      <c r="H10" s="1914"/>
    </row>
    <row r="11" spans="2:17" ht="36" customHeight="1" thickTop="1" thickBot="1">
      <c r="B11" s="1915" t="s">
        <v>124</v>
      </c>
      <c r="C11" s="1915"/>
      <c r="D11" s="1915"/>
      <c r="E11" s="1915"/>
      <c r="F11" s="1916"/>
      <c r="G11" s="1286" t="s">
        <v>125</v>
      </c>
      <c r="H11" s="1287" t="s">
        <v>126</v>
      </c>
    </row>
    <row r="12" spans="2:17" ht="21" customHeight="1" thickTop="1">
      <c r="B12" s="775"/>
      <c r="C12" s="775"/>
      <c r="D12" s="775"/>
      <c r="E12" s="775"/>
      <c r="F12" s="775"/>
      <c r="G12" s="1288"/>
      <c r="H12" s="1289"/>
    </row>
    <row r="13" spans="2:17" ht="21" customHeight="1">
      <c r="B13" s="1290" t="s">
        <v>808</v>
      </c>
      <c r="C13" s="1291"/>
      <c r="D13" s="1291"/>
      <c r="E13" s="1291"/>
      <c r="F13" s="1291"/>
      <c r="G13" s="1292"/>
      <c r="H13" s="1293"/>
      <c r="K13" s="322"/>
      <c r="L13" s="322"/>
      <c r="M13" s="322"/>
      <c r="N13" s="322"/>
      <c r="O13" s="322"/>
      <c r="P13" s="322"/>
      <c r="Q13" s="322"/>
    </row>
    <row r="14" spans="2:17" ht="21" customHeight="1">
      <c r="B14" s="1291"/>
      <c r="C14" s="1291"/>
      <c r="D14" s="1291"/>
      <c r="E14" s="1291"/>
      <c r="F14" s="1291"/>
      <c r="G14" s="1292"/>
      <c r="H14" s="1293"/>
      <c r="K14" s="322"/>
      <c r="L14" s="322"/>
      <c r="M14" s="322"/>
      <c r="N14" s="322"/>
      <c r="O14" s="322"/>
      <c r="P14" s="322"/>
      <c r="Q14" s="322"/>
    </row>
    <row r="15" spans="2:17" ht="21" customHeight="1">
      <c r="B15" s="398" t="s">
        <v>251</v>
      </c>
      <c r="C15" s="402"/>
      <c r="D15" s="402"/>
      <c r="E15" s="402"/>
      <c r="F15" s="402"/>
      <c r="G15" s="372"/>
      <c r="H15" s="264" t="s">
        <v>787</v>
      </c>
      <c r="K15" s="377"/>
      <c r="L15" s="322"/>
      <c r="M15" s="322"/>
      <c r="N15" s="322"/>
      <c r="O15" s="322"/>
      <c r="P15" s="322"/>
      <c r="Q15" s="322"/>
    </row>
    <row r="16" spans="2:17" ht="21" customHeight="1">
      <c r="B16" s="402" t="s">
        <v>252</v>
      </c>
      <c r="C16" s="402"/>
      <c r="D16" s="402"/>
      <c r="E16" s="402"/>
      <c r="F16" s="402"/>
      <c r="G16" s="310" t="s">
        <v>787</v>
      </c>
      <c r="H16" s="311">
        <f>+G15</f>
        <v>0</v>
      </c>
      <c r="K16" s="322"/>
      <c r="L16" s="322"/>
      <c r="M16" s="322"/>
      <c r="N16" s="322"/>
      <c r="O16" s="322"/>
      <c r="P16" s="322"/>
      <c r="Q16" s="322"/>
    </row>
    <row r="17" spans="2:17" ht="21" customHeight="1">
      <c r="B17" s="402"/>
      <c r="C17" s="402"/>
      <c r="D17" s="402"/>
      <c r="E17" s="402"/>
      <c r="F17" s="402"/>
      <c r="G17" s="337"/>
      <c r="H17" s="311"/>
      <c r="K17" s="322"/>
      <c r="L17" s="322"/>
      <c r="M17" s="322"/>
      <c r="N17" s="322"/>
      <c r="O17" s="322"/>
      <c r="P17" s="322"/>
      <c r="Q17" s="322"/>
    </row>
    <row r="18" spans="2:17" ht="21" customHeight="1">
      <c r="B18" s="402"/>
      <c r="C18" s="402" t="s">
        <v>459</v>
      </c>
      <c r="D18" s="402"/>
      <c r="E18" s="402"/>
      <c r="F18" s="402"/>
      <c r="G18" s="372"/>
      <c r="H18" s="568"/>
      <c r="K18" s="322"/>
      <c r="L18" s="322"/>
      <c r="M18" s="322"/>
      <c r="N18" s="322"/>
      <c r="O18" s="322"/>
      <c r="P18" s="322"/>
      <c r="Q18" s="322"/>
    </row>
    <row r="19" spans="2:17" ht="21" customHeight="1">
      <c r="B19" s="402"/>
      <c r="C19" s="647"/>
      <c r="D19" s="648"/>
      <c r="E19" s="648"/>
      <c r="F19" s="648"/>
      <c r="G19" s="372"/>
      <c r="H19" s="568"/>
      <c r="K19" s="322"/>
      <c r="L19" s="322"/>
      <c r="M19" s="322"/>
      <c r="N19" s="322"/>
      <c r="O19" s="322"/>
      <c r="P19" s="322"/>
      <c r="Q19" s="322"/>
    </row>
    <row r="20" spans="2:17" ht="21" customHeight="1">
      <c r="B20" s="402"/>
      <c r="C20" s="402" t="s">
        <v>1153</v>
      </c>
      <c r="D20" s="402"/>
      <c r="E20" s="402"/>
      <c r="F20" s="402"/>
      <c r="G20" s="372"/>
      <c r="H20" s="568"/>
      <c r="K20" s="322"/>
      <c r="L20" s="322"/>
      <c r="M20" s="322"/>
      <c r="N20" s="322"/>
      <c r="O20" s="322"/>
      <c r="P20" s="322"/>
      <c r="Q20" s="322"/>
    </row>
    <row r="21" spans="2:17" ht="21" customHeight="1">
      <c r="B21" s="402"/>
      <c r="C21" s="402" t="s">
        <v>809</v>
      </c>
      <c r="D21" s="402"/>
      <c r="E21" s="402"/>
      <c r="F21" s="402"/>
      <c r="G21" s="337"/>
      <c r="H21" s="350"/>
      <c r="K21" s="322"/>
      <c r="L21" s="322"/>
      <c r="M21" s="322"/>
      <c r="N21" s="322"/>
      <c r="O21" s="322"/>
      <c r="P21" s="322"/>
      <c r="Q21" s="322"/>
    </row>
    <row r="22" spans="2:17" ht="21" customHeight="1">
      <c r="B22" s="402"/>
      <c r="C22" s="402"/>
      <c r="D22" s="402" t="s">
        <v>104</v>
      </c>
      <c r="E22" s="402"/>
      <c r="F22" s="402"/>
      <c r="G22" s="372"/>
      <c r="H22" s="568"/>
      <c r="K22" s="322"/>
      <c r="L22" s="322"/>
      <c r="M22" s="322"/>
      <c r="N22" s="322"/>
      <c r="O22" s="322"/>
      <c r="P22" s="322"/>
      <c r="Q22" s="322"/>
    </row>
    <row r="23" spans="2:17" ht="21" customHeight="1">
      <c r="B23" s="402"/>
      <c r="C23" s="402"/>
      <c r="D23" s="402" t="s">
        <v>837</v>
      </c>
      <c r="E23" s="402"/>
      <c r="F23" s="402"/>
      <c r="G23" s="372"/>
      <c r="H23" s="568"/>
      <c r="K23" s="322"/>
      <c r="L23" s="322"/>
      <c r="M23" s="322"/>
      <c r="N23" s="322"/>
      <c r="O23" s="322"/>
      <c r="P23" s="322"/>
      <c r="Q23" s="322"/>
    </row>
    <row r="24" spans="2:17" ht="21" customHeight="1">
      <c r="B24" s="402"/>
      <c r="C24" s="648"/>
      <c r="D24" s="648" t="s">
        <v>3406</v>
      </c>
      <c r="E24" s="648"/>
      <c r="F24" s="648"/>
      <c r="G24" s="372"/>
      <c r="H24" s="589"/>
      <c r="K24" s="322"/>
      <c r="L24" s="322"/>
      <c r="M24" s="322"/>
      <c r="N24" s="322"/>
      <c r="O24" s="322"/>
      <c r="P24" s="322"/>
      <c r="Q24" s="322"/>
    </row>
    <row r="25" spans="2:17" ht="21" customHeight="1">
      <c r="B25" s="402"/>
      <c r="C25" s="648"/>
      <c r="D25" s="648" t="s">
        <v>3406</v>
      </c>
      <c r="E25" s="648"/>
      <c r="F25" s="648"/>
      <c r="G25" s="372"/>
      <c r="H25" s="589" t="s">
        <v>3406</v>
      </c>
    </row>
    <row r="26" spans="2:17" ht="21" customHeight="1">
      <c r="B26" s="402"/>
      <c r="C26" s="649"/>
      <c r="D26" s="648"/>
      <c r="E26" s="648"/>
      <c r="F26" s="648"/>
      <c r="G26" s="372"/>
      <c r="H26" s="651"/>
    </row>
    <row r="27" spans="2:17" ht="21" customHeight="1">
      <c r="B27" s="402"/>
      <c r="C27" s="648" t="s">
        <v>3406</v>
      </c>
      <c r="D27" s="648"/>
      <c r="E27" s="648"/>
      <c r="F27" s="648"/>
      <c r="G27" s="372"/>
      <c r="H27" s="589" t="s">
        <v>3406</v>
      </c>
    </row>
    <row r="28" spans="2:17" ht="21" customHeight="1">
      <c r="B28" s="402"/>
      <c r="C28" s="648"/>
      <c r="D28" s="648"/>
      <c r="E28" s="648"/>
      <c r="F28" s="648"/>
      <c r="G28" s="372"/>
      <c r="H28" s="589"/>
    </row>
    <row r="29" spans="2:17" ht="21" customHeight="1">
      <c r="B29" s="402"/>
      <c r="C29" s="648"/>
      <c r="D29" s="648" t="s">
        <v>3406</v>
      </c>
      <c r="E29" s="648"/>
      <c r="F29" s="648"/>
      <c r="G29" s="372"/>
      <c r="H29" s="589"/>
      <c r="K29" s="322"/>
      <c r="L29" s="322"/>
      <c r="M29" s="322"/>
      <c r="N29" s="322"/>
      <c r="O29" s="322"/>
      <c r="P29" s="322"/>
      <c r="Q29" s="322"/>
    </row>
    <row r="30" spans="2:17" ht="21" customHeight="1">
      <c r="B30" s="402"/>
      <c r="C30" s="648"/>
      <c r="D30" s="648" t="s">
        <v>3406</v>
      </c>
      <c r="E30" s="648"/>
      <c r="F30" s="648"/>
      <c r="G30" s="372"/>
      <c r="H30" s="589"/>
      <c r="K30" s="322"/>
      <c r="L30" s="322"/>
      <c r="M30" s="322"/>
      <c r="N30" s="322"/>
      <c r="O30" s="322"/>
      <c r="P30" s="322"/>
      <c r="Q30" s="322"/>
    </row>
    <row r="31" spans="2:17" ht="21" customHeight="1">
      <c r="B31" s="402"/>
      <c r="C31" s="648"/>
      <c r="D31" s="648" t="s">
        <v>3406</v>
      </c>
      <c r="E31" s="648"/>
      <c r="F31" s="648"/>
      <c r="G31" s="372"/>
      <c r="H31" s="589" t="s">
        <v>3406</v>
      </c>
    </row>
    <row r="32" spans="2:17" ht="21" customHeight="1">
      <c r="B32" s="402"/>
      <c r="C32" s="649"/>
      <c r="D32" s="648"/>
      <c r="E32" s="648"/>
      <c r="F32" s="648"/>
      <c r="G32" s="372"/>
      <c r="H32" s="651"/>
    </row>
    <row r="33" spans="2:17" ht="21" customHeight="1">
      <c r="B33" s="402"/>
      <c r="C33" s="648" t="s">
        <v>3406</v>
      </c>
      <c r="D33" s="648"/>
      <c r="E33" s="648"/>
      <c r="F33" s="648"/>
      <c r="G33" s="372"/>
      <c r="H33" s="589" t="s">
        <v>3406</v>
      </c>
    </row>
    <row r="34" spans="2:17" ht="21" customHeight="1">
      <c r="B34" s="402"/>
      <c r="C34" s="648"/>
      <c r="D34" s="648"/>
      <c r="E34" s="648"/>
      <c r="F34" s="648"/>
      <c r="G34" s="372"/>
      <c r="H34" s="589"/>
    </row>
    <row r="35" spans="2:17" ht="21" customHeight="1">
      <c r="B35" s="402"/>
      <c r="C35" s="648"/>
      <c r="D35" s="648" t="s">
        <v>3406</v>
      </c>
      <c r="E35" s="648"/>
      <c r="F35" s="648"/>
      <c r="G35" s="372"/>
      <c r="H35" s="589"/>
      <c r="K35" s="322"/>
      <c r="L35" s="322"/>
      <c r="M35" s="322"/>
      <c r="N35" s="322"/>
      <c r="O35" s="322"/>
      <c r="P35" s="322"/>
      <c r="Q35" s="322"/>
    </row>
    <row r="36" spans="2:17" ht="21" customHeight="1">
      <c r="B36" s="402"/>
      <c r="C36" s="648"/>
      <c r="D36" s="648" t="s">
        <v>3406</v>
      </c>
      <c r="E36" s="648"/>
      <c r="F36" s="648"/>
      <c r="G36" s="372"/>
      <c r="H36" s="589" t="s">
        <v>3406</v>
      </c>
    </row>
    <row r="37" spans="2:17" ht="21" customHeight="1">
      <c r="B37" s="402"/>
      <c r="C37" s="649"/>
      <c r="D37" s="648"/>
      <c r="E37" s="648"/>
      <c r="F37" s="648"/>
      <c r="G37" s="372"/>
      <c r="H37" s="651"/>
    </row>
    <row r="38" spans="2:17" ht="21" customHeight="1">
      <c r="B38" s="402"/>
      <c r="C38" s="648" t="s">
        <v>3406</v>
      </c>
      <c r="D38" s="648"/>
      <c r="E38" s="648"/>
      <c r="F38" s="648"/>
      <c r="G38" s="372"/>
      <c r="H38" s="589" t="s">
        <v>3406</v>
      </c>
    </row>
    <row r="39" spans="2:17" ht="21" customHeight="1">
      <c r="B39" s="402"/>
      <c r="C39" s="648"/>
      <c r="D39" s="648"/>
      <c r="E39" s="648"/>
      <c r="F39" s="648"/>
      <c r="G39" s="372"/>
      <c r="H39" s="589"/>
    </row>
    <row r="40" spans="2:17" ht="21" customHeight="1">
      <c r="B40" s="402"/>
      <c r="C40" s="648"/>
      <c r="D40" s="648"/>
      <c r="E40" s="648"/>
      <c r="F40" s="648"/>
      <c r="G40" s="372"/>
      <c r="H40" s="589"/>
    </row>
    <row r="41" spans="2:17" ht="21" customHeight="1">
      <c r="B41" s="402"/>
      <c r="C41" s="648" t="s">
        <v>3406</v>
      </c>
      <c r="D41" s="648"/>
      <c r="E41" s="648"/>
      <c r="F41" s="648"/>
      <c r="G41" s="372"/>
      <c r="H41" s="589" t="s">
        <v>3406</v>
      </c>
    </row>
    <row r="42" spans="2:17" ht="21" customHeight="1">
      <c r="B42" s="402"/>
      <c r="C42" s="648" t="s">
        <v>3406</v>
      </c>
      <c r="D42" s="648"/>
      <c r="E42" s="648"/>
      <c r="F42" s="648"/>
      <c r="G42" s="372"/>
      <c r="H42" s="589" t="s">
        <v>3406</v>
      </c>
    </row>
    <row r="43" spans="2:17" ht="21" customHeight="1" thickBot="1">
      <c r="B43" s="402"/>
      <c r="C43" s="402"/>
      <c r="D43" s="402"/>
      <c r="E43" s="402"/>
      <c r="F43" s="402"/>
      <c r="G43" s="314"/>
      <c r="H43" s="405"/>
      <c r="I43" s="399"/>
      <c r="M43" s="399"/>
    </row>
    <row r="44" spans="2:17" ht="21" customHeight="1" thickBot="1">
      <c r="B44" s="402"/>
      <c r="C44" s="402" t="s">
        <v>3545</v>
      </c>
      <c r="D44" s="402"/>
      <c r="E44" s="402"/>
      <c r="F44" s="402"/>
      <c r="G44" s="343">
        <f>SUM(G15:G42)</f>
        <v>0</v>
      </c>
      <c r="H44" s="404">
        <f>SUM(H15:H43)</f>
        <v>0</v>
      </c>
      <c r="I44" s="399"/>
      <c r="K44" s="399"/>
    </row>
    <row r="45" spans="2:17" ht="13.8" thickTop="1">
      <c r="B45" s="1778" t="s">
        <v>127</v>
      </c>
      <c r="C45" s="1778"/>
      <c r="D45" s="1778"/>
      <c r="E45" s="1778"/>
      <c r="F45" s="1778"/>
      <c r="G45" s="1779"/>
      <c r="H45" s="1779"/>
    </row>
    <row r="46" spans="2:17">
      <c r="B46" s="918"/>
      <c r="C46" s="918"/>
      <c r="D46" s="918"/>
      <c r="E46" s="918"/>
      <c r="F46" s="918"/>
      <c r="G46" s="918"/>
      <c r="H46" s="918"/>
    </row>
    <row r="47" spans="2:17">
      <c r="B47" s="918"/>
      <c r="C47" s="918"/>
      <c r="D47" s="918"/>
      <c r="E47" s="918"/>
      <c r="F47" s="918"/>
      <c r="G47" s="918"/>
      <c r="H47" s="918"/>
    </row>
    <row r="48" spans="2:17">
      <c r="B48" s="918"/>
      <c r="C48" s="918"/>
      <c r="D48" s="918"/>
      <c r="E48" s="918"/>
      <c r="F48" s="918"/>
      <c r="G48" s="918"/>
      <c r="H48" s="918"/>
    </row>
    <row r="49" spans="2:8">
      <c r="B49" s="918"/>
      <c r="C49" s="918"/>
      <c r="D49" s="918"/>
      <c r="E49" s="918"/>
      <c r="F49" s="918"/>
      <c r="G49" s="918"/>
      <c r="H49" s="918"/>
    </row>
    <row r="50" spans="2:8" ht="13.8">
      <c r="B50" s="1765" t="s">
        <v>3411</v>
      </c>
      <c r="C50" s="1765"/>
      <c r="D50" s="1765"/>
      <c r="E50" s="1765"/>
      <c r="F50" s="1765"/>
      <c r="G50" s="1765"/>
      <c r="H50" s="1765"/>
    </row>
    <row r="55" spans="2:8">
      <c r="H55" s="399"/>
    </row>
  </sheetData>
  <sheetProtection algorithmName="SHA-512" hashValue="foxIsMtMB4tGrI4f0NI84qTeM5U+2/qLGS3hQuX6Xs1YP6PkDrlhoNzLrbI/pZXa1sOHDDIfNamgcUq+GW14RA==" saltValue="2MzaHLg0Cz9QmAlhfSWur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0">
    <tabColor theme="3" tint="0.39997558519241921"/>
  </sheetPr>
  <dimension ref="B1:Q55"/>
  <sheetViews>
    <sheetView zoomScaleNormal="100" zoomScaleSheetLayoutView="80" workbookViewId="0">
      <selection activeCell="H23" sqref="H23"/>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1" spans="2:17">
      <c r="B1" s="1114"/>
      <c r="C1" s="1114"/>
      <c r="D1" s="1114"/>
      <c r="E1" s="1114"/>
      <c r="F1" s="1114"/>
      <c r="G1" s="1114"/>
      <c r="H1" s="1114"/>
    </row>
    <row r="2" spans="2:17">
      <c r="B2" s="1758" t="s">
        <v>37</v>
      </c>
      <c r="C2" s="1758"/>
      <c r="D2" s="1758"/>
      <c r="E2" s="1758"/>
      <c r="F2" s="1758"/>
      <c r="G2" s="1758"/>
      <c r="H2" s="1758"/>
    </row>
    <row r="3" spans="2:17">
      <c r="B3" s="1758" t="s">
        <v>572</v>
      </c>
      <c r="C3" s="1758"/>
      <c r="D3" s="1758"/>
      <c r="E3" s="1758"/>
      <c r="F3" s="1758"/>
      <c r="G3" s="1758"/>
      <c r="H3" s="1758"/>
    </row>
    <row r="4" spans="2:17">
      <c r="B4" s="1114"/>
      <c r="C4" s="1114"/>
      <c r="D4" s="1114"/>
      <c r="E4" s="1114"/>
      <c r="F4" s="1114"/>
      <c r="G4" s="1114"/>
      <c r="H4" s="1114"/>
    </row>
    <row r="5" spans="2:17" ht="22.8">
      <c r="B5" s="1759" t="s">
        <v>543</v>
      </c>
      <c r="C5" s="1759"/>
      <c r="D5" s="1759"/>
      <c r="E5" s="1759"/>
      <c r="F5" s="1759"/>
      <c r="G5" s="1759"/>
      <c r="H5" s="1759"/>
    </row>
    <row r="6" spans="2:17" ht="22.8">
      <c r="B6" s="1759" t="str">
        <f>"TRIAL  BALANCE - "&amp;UPPER('KEY INPUTS'!D53)&amp;"  UTILITY  FUND (cont'd)"</f>
        <v>TRIAL  BALANCE -   UTILITY  FUND (cont'd)</v>
      </c>
      <c r="C6" s="1759"/>
      <c r="D6" s="1759"/>
      <c r="E6" s="1759"/>
      <c r="F6" s="1759"/>
      <c r="G6" s="1759"/>
      <c r="H6" s="1759"/>
    </row>
    <row r="7" spans="2:17" ht="15.6">
      <c r="B7" s="1760" t="str">
        <f>'KEY INPUTS'!D44</f>
        <v>AS  AT  DECEMBER  31, 2019</v>
      </c>
      <c r="C7" s="1761"/>
      <c r="D7" s="1761"/>
      <c r="E7" s="1761"/>
      <c r="F7" s="1761"/>
      <c r="G7" s="1761"/>
      <c r="H7" s="1761"/>
    </row>
    <row r="8" spans="2:17" ht="15.6">
      <c r="B8" s="1766" t="s">
        <v>573</v>
      </c>
      <c r="C8" s="1766"/>
      <c r="D8" s="1766"/>
      <c r="E8" s="1766"/>
      <c r="F8" s="1766"/>
      <c r="G8" s="1766"/>
      <c r="H8" s="1766"/>
    </row>
    <row r="9" spans="2:17">
      <c r="B9" s="1767" t="s">
        <v>79</v>
      </c>
      <c r="C9" s="1767"/>
      <c r="D9" s="1767"/>
      <c r="E9" s="1767"/>
      <c r="F9" s="1767"/>
      <c r="G9" s="1767"/>
      <c r="H9" s="1767"/>
    </row>
    <row r="10" spans="2:17" ht="15" customHeight="1" thickBot="1">
      <c r="B10" s="1768" t="s">
        <v>80</v>
      </c>
      <c r="C10" s="1768"/>
      <c r="D10" s="1768"/>
      <c r="E10" s="1768"/>
      <c r="F10" s="1768"/>
      <c r="G10" s="1768"/>
      <c r="H10" s="1768"/>
    </row>
    <row r="11" spans="2:17" ht="36" customHeight="1" thickTop="1" thickBot="1">
      <c r="B11" s="1762" t="s">
        <v>124</v>
      </c>
      <c r="C11" s="1762"/>
      <c r="D11" s="1762"/>
      <c r="E11" s="1762"/>
      <c r="F11" s="1763"/>
      <c r="G11" s="1115" t="s">
        <v>125</v>
      </c>
      <c r="H11" s="1116" t="s">
        <v>126</v>
      </c>
    </row>
    <row r="12" spans="2:17" ht="21" customHeight="1" thickTop="1">
      <c r="B12" s="690"/>
      <c r="C12" s="690" t="s">
        <v>3546</v>
      </c>
      <c r="D12" s="690"/>
      <c r="E12" s="690"/>
      <c r="F12" s="690"/>
      <c r="G12" s="906">
        <f>'41a-Utility2'!G44</f>
        <v>0</v>
      </c>
      <c r="H12" s="913">
        <f>'41a-Utility2'!H44</f>
        <v>0</v>
      </c>
    </row>
    <row r="13" spans="2:17" ht="21" customHeight="1">
      <c r="C13" s="649"/>
      <c r="D13" s="649"/>
      <c r="E13" s="649"/>
      <c r="F13" s="649"/>
      <c r="G13" s="601"/>
      <c r="H13" s="651"/>
    </row>
    <row r="14" spans="2:17" ht="21" customHeight="1">
      <c r="B14" s="407"/>
      <c r="C14" s="648"/>
      <c r="D14" s="648"/>
      <c r="E14" s="648"/>
      <c r="F14" s="648"/>
      <c r="G14" s="601"/>
      <c r="H14" s="609"/>
      <c r="K14" s="322"/>
      <c r="L14" s="322"/>
      <c r="M14" s="322"/>
      <c r="N14" s="322"/>
      <c r="O14" s="322"/>
      <c r="P14" s="322"/>
      <c r="Q14" s="322"/>
    </row>
    <row r="15" spans="2:17" ht="21" customHeight="1">
      <c r="B15" s="402"/>
      <c r="C15" s="648"/>
      <c r="D15" s="648"/>
      <c r="E15" s="648"/>
      <c r="F15" s="648"/>
      <c r="G15" s="601"/>
      <c r="H15" s="609"/>
      <c r="K15" s="322"/>
      <c r="L15" s="322"/>
      <c r="M15" s="322"/>
      <c r="N15" s="322"/>
      <c r="O15" s="322"/>
      <c r="P15" s="322"/>
      <c r="Q15" s="322"/>
    </row>
    <row r="16" spans="2:17" ht="21" customHeight="1">
      <c r="B16" s="402"/>
      <c r="C16" s="648"/>
      <c r="D16" s="648"/>
      <c r="E16" s="648"/>
      <c r="F16" s="648"/>
      <c r="G16" s="372"/>
      <c r="H16" s="589"/>
      <c r="K16" s="322"/>
      <c r="L16" s="322"/>
      <c r="M16" s="322"/>
      <c r="N16" s="322"/>
      <c r="O16" s="322"/>
      <c r="P16" s="322"/>
      <c r="Q16" s="322"/>
    </row>
    <row r="17" spans="2:17" ht="21" customHeight="1">
      <c r="B17" s="690"/>
      <c r="C17" s="690" t="s">
        <v>3414</v>
      </c>
      <c r="D17" s="690"/>
      <c r="E17" s="690"/>
      <c r="F17" s="690"/>
      <c r="G17" s="906"/>
      <c r="H17" s="913">
        <f>+'49-Utility2'!G22</f>
        <v>0</v>
      </c>
      <c r="K17" s="322"/>
      <c r="L17" s="322"/>
      <c r="M17" s="322"/>
      <c r="N17" s="322"/>
      <c r="O17" s="322"/>
      <c r="P17" s="322"/>
      <c r="Q17" s="322"/>
    </row>
    <row r="18" spans="2:17" ht="21" customHeight="1">
      <c r="B18" s="690"/>
      <c r="C18" s="690" t="s">
        <v>3678</v>
      </c>
      <c r="D18" s="690"/>
      <c r="E18" s="690"/>
      <c r="F18" s="690"/>
      <c r="G18" s="906"/>
      <c r="H18" s="913">
        <f>'49a-Utility2'!G11-'49a-Utility2'!G22+'49a.1-Utility2 '!G11-'49a.1-Utility2 '!G22</f>
        <v>0</v>
      </c>
    </row>
    <row r="19" spans="2:17" ht="21" customHeight="1">
      <c r="B19" s="690"/>
      <c r="C19" s="690" t="s">
        <v>3688</v>
      </c>
      <c r="D19" s="690"/>
      <c r="E19" s="690"/>
      <c r="F19" s="690"/>
      <c r="G19" s="906"/>
      <c r="H19" s="913">
        <f>+'51a-Utility2'!G23</f>
        <v>0</v>
      </c>
      <c r="K19" s="322"/>
      <c r="L19" s="322"/>
      <c r="M19" s="322"/>
      <c r="N19" s="322"/>
      <c r="O19" s="322"/>
      <c r="P19" s="322"/>
      <c r="Q19" s="322"/>
    </row>
    <row r="20" spans="2:17" ht="21" customHeight="1">
      <c r="B20" s="690"/>
      <c r="C20" s="914" t="s">
        <v>3413</v>
      </c>
      <c r="D20" s="690"/>
      <c r="E20" s="690"/>
      <c r="F20" s="690"/>
      <c r="G20" s="906"/>
      <c r="H20" s="913">
        <f>+'50-Utility2'!G18</f>
        <v>0</v>
      </c>
      <c r="K20" s="322"/>
      <c r="L20" s="322"/>
      <c r="M20" s="322"/>
      <c r="N20" s="322"/>
      <c r="O20" s="322"/>
      <c r="P20" s="322"/>
      <c r="Q20" s="322"/>
    </row>
    <row r="21" spans="2:17" ht="21" customHeight="1">
      <c r="B21" s="690"/>
      <c r="C21" s="690" t="s">
        <v>1004</v>
      </c>
      <c r="D21" s="690"/>
      <c r="E21" s="690"/>
      <c r="F21" s="690"/>
      <c r="G21" s="906"/>
      <c r="H21" s="913" t="s">
        <v>3406</v>
      </c>
      <c r="K21" s="322"/>
      <c r="L21" s="322"/>
      <c r="M21" s="322"/>
      <c r="N21" s="322"/>
      <c r="O21" s="322"/>
      <c r="P21" s="322"/>
      <c r="Q21" s="322"/>
    </row>
    <row r="22" spans="2:17" ht="21" customHeight="1">
      <c r="B22" s="690"/>
      <c r="C22" s="690"/>
      <c r="D22" s="690" t="s">
        <v>1001</v>
      </c>
      <c r="E22" s="690"/>
      <c r="F22" s="690"/>
      <c r="G22" s="906"/>
      <c r="H22" s="913">
        <f>+'52-Totals-Utility2'!K27</f>
        <v>0</v>
      </c>
      <c r="J22" s="399"/>
      <c r="K22" s="322"/>
      <c r="L22" s="322"/>
      <c r="M22" s="322"/>
      <c r="N22" s="322"/>
      <c r="O22" s="322"/>
      <c r="P22" s="322"/>
      <c r="Q22" s="322"/>
    </row>
    <row r="23" spans="2:17" ht="21" customHeight="1">
      <c r="B23" s="690"/>
      <c r="C23" s="690"/>
      <c r="D23" s="690" t="s">
        <v>1002</v>
      </c>
      <c r="E23" s="690"/>
      <c r="F23" s="690"/>
      <c r="G23" s="906"/>
      <c r="H23" s="913">
        <f>+'52-Totals-Utility2'!L27</f>
        <v>0</v>
      </c>
      <c r="J23" s="399"/>
      <c r="K23" s="322"/>
      <c r="L23" s="322"/>
      <c r="M23" s="322"/>
      <c r="N23" s="322"/>
      <c r="O23" s="322"/>
      <c r="P23" s="322"/>
      <c r="Q23" s="322"/>
    </row>
    <row r="24" spans="2:17" ht="21" customHeight="1">
      <c r="B24" s="402"/>
      <c r="C24" s="648" t="s">
        <v>3412</v>
      </c>
      <c r="D24" s="648"/>
      <c r="E24" s="648"/>
      <c r="F24" s="648"/>
      <c r="G24" s="372"/>
      <c r="H24" s="568"/>
    </row>
    <row r="25" spans="2:17" ht="21" customHeight="1">
      <c r="B25" s="402"/>
      <c r="C25" s="648" t="s">
        <v>840</v>
      </c>
      <c r="D25" s="648"/>
      <c r="E25" s="648"/>
      <c r="F25" s="648"/>
      <c r="G25" s="372"/>
      <c r="H25" s="568"/>
    </row>
    <row r="26" spans="2:17" ht="21" customHeight="1">
      <c r="B26" s="402"/>
      <c r="C26" s="648" t="str">
        <f>"DUE TO "&amp;UPPER('KEY INPUTS'!D52)&amp;" OPERATING"</f>
        <v>DUE TO  OPERATING</v>
      </c>
      <c r="D26" s="648"/>
      <c r="E26" s="648"/>
      <c r="F26" s="648"/>
      <c r="G26" s="372"/>
      <c r="H26" s="568"/>
    </row>
    <row r="27" spans="2:17" ht="21" customHeight="1">
      <c r="B27" s="402"/>
      <c r="C27" s="648" t="s">
        <v>839</v>
      </c>
      <c r="D27" s="648"/>
      <c r="E27" s="648"/>
      <c r="F27" s="648"/>
      <c r="G27" s="372"/>
      <c r="H27" s="568"/>
    </row>
    <row r="28" spans="2:17" ht="21" customHeight="1">
      <c r="B28" s="402"/>
      <c r="C28" s="648" t="s">
        <v>838</v>
      </c>
      <c r="D28" s="648"/>
      <c r="E28" s="648"/>
      <c r="F28" s="648"/>
      <c r="G28" s="372"/>
      <c r="H28" s="568"/>
    </row>
    <row r="29" spans="2:17" ht="21" customHeight="1">
      <c r="B29" s="402"/>
      <c r="C29" s="648" t="s">
        <v>370</v>
      </c>
      <c r="D29" s="648"/>
      <c r="E29" s="648"/>
      <c r="F29" s="648"/>
      <c r="G29" s="372"/>
      <c r="H29" s="568"/>
    </row>
    <row r="30" spans="2:17" ht="21" customHeight="1">
      <c r="B30" s="402"/>
      <c r="C30" s="648"/>
      <c r="D30" s="648"/>
      <c r="E30" s="648"/>
      <c r="F30" s="648"/>
      <c r="G30" s="372"/>
      <c r="H30" s="589" t="s">
        <v>3406</v>
      </c>
    </row>
    <row r="31" spans="2:17" ht="21" customHeight="1">
      <c r="B31" s="402"/>
      <c r="C31" s="648"/>
      <c r="D31" s="648"/>
      <c r="E31" s="648"/>
      <c r="F31" s="648"/>
      <c r="G31" s="372"/>
      <c r="H31" s="589" t="s">
        <v>3406</v>
      </c>
    </row>
    <row r="32" spans="2:17" ht="21" customHeight="1">
      <c r="B32" s="402"/>
      <c r="C32" s="648"/>
      <c r="D32" s="648"/>
      <c r="E32" s="648"/>
      <c r="F32" s="648"/>
      <c r="G32" s="372"/>
      <c r="H32" s="651"/>
    </row>
    <row r="33" spans="2:13" ht="21" customHeight="1">
      <c r="B33" s="402"/>
      <c r="C33" s="648"/>
      <c r="D33" s="648"/>
      <c r="E33" s="648"/>
      <c r="F33" s="648"/>
      <c r="G33" s="372"/>
      <c r="H33" s="589" t="s">
        <v>3406</v>
      </c>
    </row>
    <row r="34" spans="2:13" ht="21" customHeight="1">
      <c r="B34" s="402"/>
      <c r="C34" s="648"/>
      <c r="D34" s="648"/>
      <c r="E34" s="648"/>
      <c r="F34" s="648"/>
      <c r="G34" s="372"/>
      <c r="H34" s="589"/>
    </row>
    <row r="35" spans="2:13" ht="21" customHeight="1">
      <c r="B35" s="402"/>
      <c r="C35" s="648"/>
      <c r="D35" s="648"/>
      <c r="E35" s="648"/>
      <c r="F35" s="648"/>
      <c r="G35" s="372"/>
      <c r="H35" s="589"/>
    </row>
    <row r="36" spans="2:13" ht="21" customHeight="1">
      <c r="B36" s="402"/>
      <c r="C36" s="648"/>
      <c r="D36" s="648"/>
      <c r="E36" s="648"/>
      <c r="F36" s="648"/>
      <c r="G36" s="372"/>
      <c r="H36" s="589" t="s">
        <v>3406</v>
      </c>
    </row>
    <row r="37" spans="2:13" ht="21" customHeight="1">
      <c r="B37" s="402"/>
      <c r="C37" s="648"/>
      <c r="D37" s="648"/>
      <c r="E37" s="648"/>
      <c r="F37" s="648"/>
      <c r="G37" s="372"/>
      <c r="H37" s="651"/>
    </row>
    <row r="38" spans="2:13" ht="21" customHeight="1">
      <c r="B38" s="402"/>
      <c r="C38" s="648"/>
      <c r="D38" s="648"/>
      <c r="E38" s="648"/>
      <c r="F38" s="648"/>
      <c r="G38" s="372"/>
      <c r="H38" s="589" t="s">
        <v>3406</v>
      </c>
    </row>
    <row r="39" spans="2:13" ht="21" customHeight="1">
      <c r="B39" s="402"/>
      <c r="C39" s="648"/>
      <c r="D39" s="648"/>
      <c r="E39" s="648"/>
      <c r="F39" s="648"/>
      <c r="G39" s="372"/>
      <c r="H39" s="589"/>
    </row>
    <row r="40" spans="2:13" ht="21" customHeight="1">
      <c r="B40" s="690"/>
      <c r="C40" s="690" t="s">
        <v>3480</v>
      </c>
      <c r="D40" s="690"/>
      <c r="E40" s="690"/>
      <c r="F40" s="690"/>
      <c r="G40" s="906"/>
      <c r="H40" s="913">
        <f>+'53-Utility2'!I41</f>
        <v>0</v>
      </c>
    </row>
    <row r="41" spans="2:13" ht="21" customHeight="1">
      <c r="B41" s="690"/>
      <c r="C41" s="690" t="s">
        <v>1005</v>
      </c>
      <c r="D41" s="690"/>
      <c r="E41" s="690"/>
      <c r="F41" s="690"/>
      <c r="G41" s="906"/>
      <c r="H41" s="913">
        <f>+'53-Utility2'!I24</f>
        <v>0</v>
      </c>
    </row>
    <row r="42" spans="2:13" ht="21" customHeight="1">
      <c r="B42" s="690"/>
      <c r="C42" s="690" t="s">
        <v>807</v>
      </c>
      <c r="D42" s="690"/>
      <c r="E42" s="690"/>
      <c r="F42" s="690"/>
      <c r="G42" s="906"/>
      <c r="H42" s="913">
        <f>+'54-Utility2'!I42</f>
        <v>0</v>
      </c>
    </row>
    <row r="43" spans="2:13" ht="21" customHeight="1" thickBot="1">
      <c r="B43" s="690"/>
      <c r="C43" s="690"/>
      <c r="D43" s="690"/>
      <c r="E43" s="690"/>
      <c r="F43" s="690"/>
      <c r="G43" s="1294"/>
      <c r="H43" s="1295"/>
      <c r="I43" s="399"/>
      <c r="M43" s="399"/>
    </row>
    <row r="44" spans="2:13" ht="21" customHeight="1" thickBot="1">
      <c r="B44" s="690"/>
      <c r="C44" s="690" t="s">
        <v>1000</v>
      </c>
      <c r="D44" s="690"/>
      <c r="E44" s="690"/>
      <c r="F44" s="690"/>
      <c r="G44" s="1296">
        <f>SUM(G12:G42)</f>
        <v>0</v>
      </c>
      <c r="H44" s="1297">
        <f>SUM(H12:H43)</f>
        <v>0</v>
      </c>
      <c r="I44" s="399"/>
      <c r="K44" s="399"/>
    </row>
    <row r="45" spans="2:13" ht="13.8" thickTop="1">
      <c r="B45" s="1917" t="s">
        <v>127</v>
      </c>
      <c r="C45" s="1917"/>
      <c r="D45" s="1917"/>
      <c r="E45" s="1917"/>
      <c r="F45" s="1917"/>
      <c r="G45" s="1918"/>
      <c r="H45" s="1918"/>
    </row>
    <row r="46" spans="2:13">
      <c r="B46" s="918"/>
      <c r="C46" s="918"/>
      <c r="D46" s="918"/>
      <c r="E46" s="918"/>
      <c r="F46" s="918"/>
      <c r="G46" s="918"/>
      <c r="H46" s="918"/>
    </row>
    <row r="47" spans="2:13">
      <c r="B47" s="918"/>
      <c r="C47" s="918"/>
      <c r="D47" s="918"/>
      <c r="E47" s="918"/>
      <c r="F47" s="918"/>
      <c r="G47" s="918"/>
      <c r="H47" s="918"/>
    </row>
    <row r="48" spans="2:13">
      <c r="B48" s="918"/>
      <c r="C48" s="918"/>
      <c r="D48" s="918"/>
      <c r="E48" s="918"/>
      <c r="F48" s="918"/>
      <c r="G48" s="918"/>
      <c r="H48" s="918"/>
    </row>
    <row r="49" spans="2:8">
      <c r="B49" s="918"/>
      <c r="C49" s="918"/>
      <c r="D49" s="918"/>
      <c r="E49" s="918"/>
      <c r="F49" s="918"/>
      <c r="G49" s="918"/>
      <c r="H49" s="918"/>
    </row>
    <row r="50" spans="2:8" ht="13.8">
      <c r="B50" s="1765" t="s">
        <v>3690</v>
      </c>
      <c r="C50" s="1765"/>
      <c r="D50" s="1765"/>
      <c r="E50" s="1765"/>
      <c r="F50" s="1765"/>
      <c r="G50" s="1765"/>
      <c r="H50" s="1765"/>
    </row>
    <row r="55" spans="2:8">
      <c r="H55" s="399"/>
    </row>
  </sheetData>
  <sheetProtection algorithmName="SHA-512" hashValue="MkKht1pfQR3aU0w9yzookMco6rZ269k+CJesNjab3wo0gvb6aej9JiYYM5rEGOivpyTWta8emNwb3bYzs2KcvQ==" saltValue="UzhI4Db0OTqz1qhsllP2aw==" spinCount="100000" sheet="1" objects="1" scenarios="1"/>
  <customSheetViews>
    <customSheetView guid="{AC653BD0-46E3-42CB-9C76-32121A57B65A}">
      <selection activeCell="H23" sqref="H23"/>
      <pageMargins left="0.25" right="0.25" top="0.5" bottom="0.5" header="0.25" footer="0.25"/>
      <pageSetup paperSize="5" orientation="portrait" r:id="rId1"/>
      <headerFooter alignWithMargins="0"/>
    </customSheetView>
    <customSheetView guid="{B165479B-DC25-403C-9595-F1A88A4AA9A2}">
      <selection activeCell="H23" sqref="H23"/>
      <pageMargins left="0.25" right="0.25" top="0.5" bottom="0.5" header="0.25" footer="0.25"/>
      <pageSetup paperSize="5" orientation="portrait" r:id="rId2"/>
      <headerFooter alignWithMargins="0"/>
    </customSheetView>
    <customSheetView guid="{A64E4C9E-A3DA-4AAA-8607-F524450B9436}">
      <selection activeCell="H23" sqref="H23"/>
      <pageMargins left="0.25" right="0.25" top="0.5" bottom="0.5" header="0.25" footer="0.25"/>
      <pageSetup paperSize="5" orientation="portrait" r:id="rId3"/>
      <headerFooter alignWithMargins="0"/>
    </customSheetView>
    <customSheetView guid="{AB4FBD91-4533-473A-9702-569FF6402073}">
      <selection activeCell="H23" sqref="H23"/>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1">
    <tabColor theme="3" tint="0.39997558519241921"/>
  </sheetPr>
  <dimension ref="B1:R49"/>
  <sheetViews>
    <sheetView topLeftCell="A22" zoomScaleNormal="100" zoomScaleSheetLayoutView="80" workbookViewId="0">
      <selection activeCell="H40" sqref="H40"/>
    </sheetView>
  </sheetViews>
  <sheetFormatPr defaultColWidth="9.109375" defaultRowHeight="13.2"/>
  <cols>
    <col min="1" max="1" width="4.6640625" style="331" customWidth="1"/>
    <col min="2" max="2" width="4.88671875" style="331" customWidth="1"/>
    <col min="3" max="4" width="4.6640625" style="331" customWidth="1"/>
    <col min="5" max="5" width="30.6640625" style="331" customWidth="1"/>
    <col min="6" max="6" width="15.6640625" style="331" customWidth="1"/>
    <col min="7" max="8" width="16.6640625" style="331" customWidth="1"/>
    <col min="9" max="16384" width="9.109375" style="331"/>
  </cols>
  <sheetData>
    <row r="1" spans="2:18">
      <c r="B1" s="1146"/>
      <c r="C1" s="1146"/>
      <c r="D1" s="1146"/>
      <c r="E1" s="1146"/>
      <c r="F1" s="1146"/>
      <c r="G1" s="1146"/>
      <c r="H1" s="1146"/>
    </row>
    <row r="2" spans="2:18">
      <c r="B2" s="1146"/>
      <c r="C2" s="1146"/>
      <c r="D2" s="1146"/>
      <c r="E2" s="1146"/>
      <c r="F2" s="1146"/>
      <c r="G2" s="1146"/>
      <c r="H2" s="1146"/>
    </row>
    <row r="3" spans="2:18" ht="22.8">
      <c r="B3" s="1782" t="s">
        <v>1043</v>
      </c>
      <c r="C3" s="1782"/>
      <c r="D3" s="1782"/>
      <c r="E3" s="1782"/>
      <c r="F3" s="1782"/>
      <c r="G3" s="1782"/>
      <c r="H3" s="1782"/>
    </row>
    <row r="4" spans="2:18" ht="22.8">
      <c r="B4" s="1782" t="s">
        <v>1044</v>
      </c>
      <c r="C4" s="1782"/>
      <c r="D4" s="1782"/>
      <c r="E4" s="1782"/>
      <c r="F4" s="1782"/>
      <c r="G4" s="1782"/>
      <c r="H4" s="1782"/>
    </row>
    <row r="5" spans="2:18" ht="15.6">
      <c r="B5" s="1783"/>
      <c r="C5" s="1783"/>
      <c r="D5" s="1783"/>
      <c r="E5" s="1783"/>
      <c r="F5" s="1783"/>
      <c r="G5" s="1783"/>
      <c r="H5" s="1783"/>
    </row>
    <row r="6" spans="2:18" ht="13.8">
      <c r="B6" s="1781" t="s">
        <v>1045</v>
      </c>
      <c r="C6" s="1781"/>
      <c r="D6" s="1781"/>
      <c r="E6" s="1781"/>
      <c r="F6" s="1781"/>
      <c r="G6" s="1781"/>
      <c r="H6" s="1781"/>
    </row>
    <row r="7" spans="2:18" ht="13.8">
      <c r="B7" s="1781" t="s">
        <v>1053</v>
      </c>
      <c r="C7" s="1781"/>
      <c r="D7" s="1781"/>
      <c r="E7" s="1781"/>
      <c r="F7" s="1781"/>
      <c r="G7" s="1781"/>
      <c r="H7" s="1781"/>
    </row>
    <row r="8" spans="2:18" ht="13.8">
      <c r="B8" s="1133"/>
      <c r="C8" s="1133"/>
      <c r="D8" s="1133"/>
      <c r="E8" s="1133"/>
      <c r="F8" s="1133"/>
      <c r="G8" s="1133"/>
      <c r="H8" s="1133"/>
    </row>
    <row r="9" spans="2:18" ht="15" customHeight="1" thickBot="1">
      <c r="B9" s="1784" t="str">
        <f>'KEY INPUTS'!D44</f>
        <v>AS  AT  DECEMBER  31, 2019</v>
      </c>
      <c r="C9" s="1783"/>
      <c r="D9" s="1783"/>
      <c r="E9" s="1783"/>
      <c r="F9" s="1783"/>
      <c r="G9" s="1783"/>
      <c r="H9" s="1783"/>
    </row>
    <row r="10" spans="2:18" ht="36" customHeight="1" thickTop="1" thickBot="1">
      <c r="B10" s="1785" t="s">
        <v>124</v>
      </c>
      <c r="C10" s="1785"/>
      <c r="D10" s="1785"/>
      <c r="E10" s="1785"/>
      <c r="F10" s="1786"/>
      <c r="G10" s="1134" t="s">
        <v>125</v>
      </c>
      <c r="H10" s="1135" t="s">
        <v>126</v>
      </c>
    </row>
    <row r="11" spans="2:18" ht="21" customHeight="1" thickTop="1">
      <c r="B11" s="1136" t="s">
        <v>459</v>
      </c>
      <c r="C11" s="1136"/>
      <c r="D11" s="1136"/>
      <c r="E11" s="1136"/>
      <c r="F11" s="1136"/>
      <c r="G11" s="650"/>
      <c r="H11" s="651"/>
      <c r="L11" s="322"/>
      <c r="M11" s="322"/>
      <c r="N11" s="322"/>
      <c r="O11" s="322"/>
      <c r="P11" s="322"/>
      <c r="Q11" s="322"/>
      <c r="R11" s="322"/>
    </row>
    <row r="12" spans="2:18" ht="21" customHeight="1">
      <c r="B12" s="648"/>
      <c r="C12" s="648"/>
      <c r="D12" s="648"/>
      <c r="E12" s="648"/>
      <c r="F12" s="648"/>
      <c r="G12" s="601"/>
      <c r="H12" s="609"/>
      <c r="L12" s="322"/>
      <c r="M12" s="322"/>
      <c r="N12" s="322"/>
      <c r="O12" s="322"/>
      <c r="P12" s="322"/>
      <c r="Q12" s="322"/>
      <c r="R12" s="322"/>
    </row>
    <row r="13" spans="2:18" ht="21" customHeight="1">
      <c r="B13" s="648"/>
      <c r="C13" s="648"/>
      <c r="D13" s="648"/>
      <c r="E13" s="648"/>
      <c r="F13" s="648"/>
      <c r="G13" s="601"/>
      <c r="H13" s="609"/>
      <c r="L13" s="377"/>
      <c r="M13" s="322"/>
      <c r="N13" s="322"/>
      <c r="O13" s="322"/>
      <c r="P13" s="322"/>
      <c r="Q13" s="322"/>
      <c r="R13" s="322"/>
    </row>
    <row r="14" spans="2:18" ht="21" customHeight="1">
      <c r="B14" s="648"/>
      <c r="C14" s="648"/>
      <c r="D14" s="648"/>
      <c r="E14" s="648"/>
      <c r="F14" s="648"/>
      <c r="G14" s="601"/>
      <c r="H14" s="609"/>
      <c r="L14" s="322"/>
      <c r="M14" s="322"/>
      <c r="N14" s="322"/>
      <c r="O14" s="322"/>
      <c r="P14" s="322"/>
      <c r="Q14" s="322"/>
      <c r="R14" s="322"/>
    </row>
    <row r="15" spans="2:18" ht="21" customHeight="1">
      <c r="B15" s="648"/>
      <c r="C15" s="648"/>
      <c r="D15" s="648"/>
      <c r="E15" s="648"/>
      <c r="F15" s="648"/>
      <c r="G15" s="601"/>
      <c r="H15" s="609"/>
      <c r="L15" s="322"/>
      <c r="M15" s="322"/>
      <c r="N15" s="322"/>
      <c r="O15" s="322"/>
      <c r="P15" s="322"/>
      <c r="Q15" s="322"/>
      <c r="R15" s="322"/>
    </row>
    <row r="16" spans="2:18" ht="21" customHeight="1">
      <c r="B16" s="648"/>
      <c r="C16" s="648"/>
      <c r="D16" s="648"/>
      <c r="E16" s="648"/>
      <c r="F16" s="648"/>
      <c r="G16" s="601"/>
      <c r="H16" s="609"/>
      <c r="L16" s="322"/>
      <c r="M16" s="322"/>
      <c r="N16" s="322"/>
      <c r="O16" s="322"/>
      <c r="P16" s="322"/>
      <c r="Q16" s="322"/>
      <c r="R16" s="322"/>
    </row>
    <row r="17" spans="2:18" ht="21" customHeight="1">
      <c r="B17" s="648"/>
      <c r="C17" s="648"/>
      <c r="D17" s="648"/>
      <c r="E17" s="648"/>
      <c r="F17" s="648"/>
      <c r="G17" s="601"/>
      <c r="H17" s="609"/>
      <c r="L17" s="322"/>
      <c r="M17" s="322"/>
      <c r="N17" s="322"/>
      <c r="O17" s="322"/>
      <c r="P17" s="322"/>
      <c r="Q17" s="322"/>
      <c r="R17" s="322"/>
    </row>
    <row r="18" spans="2:18" ht="21" customHeight="1">
      <c r="B18" s="648"/>
      <c r="C18" s="648"/>
      <c r="D18" s="648"/>
      <c r="E18" s="648"/>
      <c r="F18" s="648"/>
      <c r="G18" s="601"/>
      <c r="H18" s="609"/>
      <c r="L18" s="322"/>
      <c r="M18" s="322"/>
      <c r="N18" s="322"/>
      <c r="O18" s="322"/>
      <c r="P18" s="322"/>
      <c r="Q18" s="322"/>
      <c r="R18" s="322"/>
    </row>
    <row r="19" spans="2:18" ht="21" customHeight="1">
      <c r="B19" s="648"/>
      <c r="C19" s="648"/>
      <c r="D19" s="648"/>
      <c r="E19" s="648"/>
      <c r="F19" s="648"/>
      <c r="G19" s="601"/>
      <c r="H19" s="609"/>
      <c r="L19" s="322"/>
      <c r="M19" s="322"/>
      <c r="N19" s="322"/>
      <c r="O19" s="322"/>
      <c r="P19" s="322"/>
      <c r="Q19" s="322"/>
      <c r="R19" s="322"/>
    </row>
    <row r="20" spans="2:18" ht="21" customHeight="1">
      <c r="B20" s="648"/>
      <c r="C20" s="648"/>
      <c r="D20" s="648"/>
      <c r="E20" s="648"/>
      <c r="F20" s="648"/>
      <c r="G20" s="601"/>
      <c r="H20" s="609"/>
      <c r="L20" s="322"/>
      <c r="M20" s="322"/>
      <c r="N20" s="322"/>
      <c r="O20" s="322"/>
      <c r="P20" s="322"/>
      <c r="Q20" s="322"/>
      <c r="R20" s="322"/>
    </row>
    <row r="21" spans="2:18" ht="21" customHeight="1">
      <c r="B21" s="648"/>
      <c r="C21" s="648"/>
      <c r="D21" s="648"/>
      <c r="E21" s="648"/>
      <c r="F21" s="648"/>
      <c r="G21" s="601"/>
      <c r="H21" s="609"/>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L23" s="322"/>
      <c r="M23" s="322"/>
      <c r="N23" s="322"/>
      <c r="O23" s="322"/>
      <c r="P23" s="322"/>
      <c r="Q23" s="322"/>
      <c r="R23" s="322"/>
    </row>
    <row r="24" spans="2:18" ht="21" customHeight="1">
      <c r="B24" s="648"/>
      <c r="C24" s="648"/>
      <c r="D24" s="648"/>
      <c r="E24" s="648"/>
      <c r="F24" s="648"/>
      <c r="G24" s="601"/>
      <c r="H24" s="60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48"/>
      <c r="C26" s="648"/>
      <c r="D26" s="648"/>
      <c r="E26" s="648"/>
      <c r="F26" s="648"/>
      <c r="G26" s="601"/>
      <c r="H26" s="609"/>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648"/>
      <c r="C30" s="648"/>
      <c r="D30" s="648"/>
      <c r="E30" s="648"/>
      <c r="F30" s="648"/>
      <c r="G30" s="601"/>
      <c r="H30" s="609"/>
    </row>
    <row r="31" spans="2:18" ht="21" customHeight="1">
      <c r="B31" s="648"/>
      <c r="C31" s="648"/>
      <c r="D31" s="648"/>
      <c r="E31" s="648"/>
      <c r="F31" s="648"/>
      <c r="G31" s="601"/>
      <c r="H31" s="609"/>
    </row>
    <row r="32" spans="2:18" ht="21" customHeight="1">
      <c r="B32" s="648"/>
      <c r="C32" s="648"/>
      <c r="D32" s="648"/>
      <c r="E32" s="648"/>
      <c r="F32" s="648"/>
      <c r="G32" s="601"/>
      <c r="H32" s="609"/>
    </row>
    <row r="33" spans="2:8" ht="21" customHeight="1">
      <c r="B33" s="648"/>
      <c r="C33" s="648"/>
      <c r="D33" s="648"/>
      <c r="E33" s="648"/>
      <c r="F33" s="648"/>
      <c r="G33" s="601"/>
      <c r="H33" s="609"/>
    </row>
    <row r="34" spans="2:8" ht="21" customHeight="1">
      <c r="B34" s="648"/>
      <c r="C34" s="648"/>
      <c r="D34" s="648"/>
      <c r="E34" s="648"/>
      <c r="F34" s="648"/>
      <c r="G34" s="601"/>
      <c r="H34" s="609"/>
    </row>
    <row r="35" spans="2:8" ht="21" customHeight="1">
      <c r="B35" s="648"/>
      <c r="C35" s="648"/>
      <c r="D35" s="648"/>
      <c r="E35" s="648"/>
      <c r="F35" s="648"/>
      <c r="G35" s="601"/>
      <c r="H35" s="609"/>
    </row>
    <row r="36" spans="2:8" ht="21" customHeight="1">
      <c r="B36" s="648"/>
      <c r="C36" s="648"/>
      <c r="D36" s="648"/>
      <c r="E36" s="648"/>
      <c r="F36" s="648"/>
      <c r="G36" s="601"/>
      <c r="H36" s="609"/>
    </row>
    <row r="37" spans="2:8" ht="21" customHeight="1">
      <c r="B37" s="648"/>
      <c r="C37" s="648"/>
      <c r="D37" s="648"/>
      <c r="E37" s="648"/>
      <c r="F37" s="648"/>
      <c r="G37" s="601"/>
      <c r="H37" s="609"/>
    </row>
    <row r="38" spans="2:8" ht="21" customHeight="1">
      <c r="B38" s="1137" t="s">
        <v>3481</v>
      </c>
      <c r="C38" s="1137"/>
      <c r="D38" s="1137"/>
      <c r="E38" s="1137"/>
      <c r="F38" s="1137"/>
      <c r="G38" s="601"/>
      <c r="H38" s="1126">
        <f>+'51-Utility2'!G23</f>
        <v>0</v>
      </c>
    </row>
    <row r="39" spans="2:8" ht="21" customHeight="1">
      <c r="B39" s="1137" t="s">
        <v>3482</v>
      </c>
      <c r="C39" s="1137"/>
      <c r="D39" s="1137"/>
      <c r="E39" s="1137"/>
      <c r="F39" s="1137"/>
      <c r="G39" s="601"/>
      <c r="H39" s="1126">
        <f>+'49-Utility2'!G11</f>
        <v>0</v>
      </c>
    </row>
    <row r="40" spans="2:8" ht="21" customHeight="1">
      <c r="B40" s="1137" t="s">
        <v>999</v>
      </c>
      <c r="C40" s="1137"/>
      <c r="D40" s="1137"/>
      <c r="E40" s="1137"/>
      <c r="F40" s="1137"/>
      <c r="G40" s="601"/>
      <c r="H40" s="1126">
        <f>'43-Utility2'!L20</f>
        <v>0</v>
      </c>
    </row>
    <row r="41" spans="2:8" ht="21" customHeight="1">
      <c r="B41" s="648"/>
      <c r="C41" s="648"/>
      <c r="D41" s="648"/>
      <c r="E41" s="648"/>
      <c r="F41" s="648"/>
      <c r="G41" s="601"/>
      <c r="H41" s="609"/>
    </row>
    <row r="42" spans="2:8" ht="21" customHeight="1">
      <c r="B42" s="648"/>
      <c r="C42" s="648"/>
      <c r="D42" s="648"/>
      <c r="E42" s="648"/>
      <c r="F42" s="648"/>
      <c r="G42" s="601"/>
      <c r="H42" s="609"/>
    </row>
    <row r="43" spans="2:8" ht="21" customHeight="1">
      <c r="B43" s="1139"/>
      <c r="C43" s="1139"/>
      <c r="D43" s="1139"/>
      <c r="E43" s="1139"/>
      <c r="F43" s="1139"/>
      <c r="G43" s="1105">
        <f>SUM(G11:G42)</f>
        <v>0</v>
      </c>
      <c r="H43" s="1140">
        <f>SUM(H11:H42)</f>
        <v>0</v>
      </c>
    </row>
    <row r="44" spans="2:8">
      <c r="B44" s="1787" t="s">
        <v>127</v>
      </c>
      <c r="C44" s="1787"/>
      <c r="D44" s="1787"/>
      <c r="E44" s="1787"/>
      <c r="F44" s="1787"/>
      <c r="G44" s="1787"/>
      <c r="H44" s="1787"/>
    </row>
    <row r="45" spans="2:8">
      <c r="B45" s="1141"/>
      <c r="C45" s="1141"/>
      <c r="D45" s="1141"/>
      <c r="E45" s="1141"/>
      <c r="F45" s="1141"/>
      <c r="G45" s="1141"/>
      <c r="H45" s="1141"/>
    </row>
    <row r="46" spans="2:8">
      <c r="B46" s="1141"/>
      <c r="C46" s="1141"/>
      <c r="D46" s="1141"/>
      <c r="E46" s="1141"/>
      <c r="F46" s="1141"/>
      <c r="G46" s="1141"/>
      <c r="H46" s="1141"/>
    </row>
    <row r="47" spans="2:8">
      <c r="B47" s="1141"/>
      <c r="C47" s="1141"/>
      <c r="D47" s="1141"/>
      <c r="E47" s="1141"/>
      <c r="F47" s="1141"/>
      <c r="G47" s="1141"/>
      <c r="H47" s="1141"/>
    </row>
    <row r="48" spans="2:8">
      <c r="B48" s="1141"/>
      <c r="C48" s="1141"/>
      <c r="D48" s="1141"/>
      <c r="E48" s="1141"/>
      <c r="F48" s="1141"/>
      <c r="G48" s="1141"/>
      <c r="H48" s="1141"/>
    </row>
    <row r="49" spans="2:8" ht="13.8">
      <c r="B49" s="1812" t="s">
        <v>3415</v>
      </c>
      <c r="C49" s="1812"/>
      <c r="D49" s="1812"/>
      <c r="E49" s="1812"/>
      <c r="F49" s="1812"/>
      <c r="G49" s="1812"/>
      <c r="H49" s="1812"/>
    </row>
  </sheetData>
  <sheetProtection algorithmName="SHA-512" hashValue="A/UrwszKPvkicXBjO0IUjZUT4PMKz/pDp74u93+b5sGsxTEjuFjmEkalaxoqPN533mPbeF+fn0VYPtV3PQFC5g==" saltValue="SGyTRnX/weExDZYfwdyL5g==" spinCount="100000" sheet="1" objects="1" scenarios="1"/>
  <customSheetViews>
    <customSheetView guid="{AC653BD0-46E3-42CB-9C76-32121A57B65A}" topLeftCell="A22">
      <selection activeCell="H40" sqref="H40"/>
      <pageMargins left="0.25" right="0.25" top="0.5" bottom="0.5" header="0.25" footer="0.25"/>
      <pageSetup paperSize="5" orientation="portrait" r:id="rId1"/>
      <headerFooter alignWithMargins="0"/>
    </customSheetView>
    <customSheetView guid="{B165479B-DC25-403C-9595-F1A88A4AA9A2}" topLeftCell="A22">
      <selection activeCell="H40" sqref="H40"/>
      <pageMargins left="0.25" right="0.25" top="0.5" bottom="0.5" header="0.25" footer="0.25"/>
      <pageSetup paperSize="5" orientation="portrait" r:id="rId2"/>
      <headerFooter alignWithMargins="0"/>
    </customSheetView>
    <customSheetView guid="{A64E4C9E-A3DA-4AAA-8607-F524450B9436}" topLeftCell="A22">
      <selection activeCell="H40" sqref="H40"/>
      <pageMargins left="0.25" right="0.25" top="0.5" bottom="0.5" header="0.25" footer="0.25"/>
      <pageSetup paperSize="5" orientation="portrait" r:id="rId3"/>
      <headerFooter alignWithMargins="0"/>
    </customSheetView>
    <customSheetView guid="{AB4FBD91-4533-473A-9702-569FF6402073}" topLeftCell="A22">
      <selection activeCell="H40" sqref="H40"/>
      <pageMargins left="0.25" right="0.25" top="0.5" bottom="0.5" header="0.25" footer="0.25"/>
      <pageSetup paperSize="5" orientation="portrait" r:id="rId4"/>
      <headerFooter alignWithMargins="0"/>
    </customSheetView>
  </customSheetViews>
  <mergeCells count="9">
    <mergeCell ref="B10:F10"/>
    <mergeCell ref="B44:H44"/>
    <mergeCell ref="B49:H49"/>
    <mergeCell ref="B3:H3"/>
    <mergeCell ref="B4:H4"/>
    <mergeCell ref="B5:H5"/>
    <mergeCell ref="B6:H6"/>
    <mergeCell ref="B7:H7"/>
    <mergeCell ref="B9:H9"/>
  </mergeCells>
  <pageMargins left="0.25" right="0.25" top="0.5" bottom="0.5" header="0.25" footer="0.25"/>
  <pageSetup paperSize="5" orientation="portrait" r:id="rId5"/>
  <headerFooter alignWithMargins="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2">
    <tabColor theme="3" tint="0.39997558519241921"/>
  </sheetPr>
  <dimension ref="A2:V27"/>
  <sheetViews>
    <sheetView zoomScaleNormal="100" zoomScaleSheetLayoutView="80" workbookViewId="0">
      <selection activeCell="L20" sqref="L20"/>
    </sheetView>
  </sheetViews>
  <sheetFormatPr defaultColWidth="9.109375" defaultRowHeight="13.2"/>
  <cols>
    <col min="1" max="1" width="5.6640625" style="331" customWidth="1"/>
    <col min="2" max="3" width="4.88671875" style="331" customWidth="1"/>
    <col min="4" max="4" width="30.6640625" style="331" customWidth="1"/>
    <col min="5" max="12" width="15.6640625" style="331" customWidth="1"/>
    <col min="13" max="16384" width="9.109375" style="331"/>
  </cols>
  <sheetData>
    <row r="2" spans="1:22" ht="20.399999999999999">
      <c r="B2" s="1788" t="str">
        <f>"ANALYSIS  OF "&amp;UPPER('KEY INPUTS'!D53)&amp;" UTILITY  ASSESSMENT  TRUST  CASH  AND  INVESTMENTS"</f>
        <v>ANALYSIS  OF  UTILITY  ASSESSMENT  TRUST  CASH  AND  INVESTMENTS</v>
      </c>
      <c r="C2" s="1788"/>
      <c r="D2" s="1788"/>
      <c r="E2" s="1788"/>
      <c r="F2" s="1788"/>
      <c r="G2" s="1788"/>
      <c r="H2" s="1788"/>
      <c r="I2" s="1788"/>
      <c r="J2" s="1788"/>
      <c r="K2" s="1788"/>
      <c r="L2" s="1788"/>
    </row>
    <row r="3" spans="1:22" ht="21" thickBot="1">
      <c r="B3" s="1788" t="s">
        <v>1054</v>
      </c>
      <c r="C3" s="1788"/>
      <c r="D3" s="1788"/>
      <c r="E3" s="1788"/>
      <c r="F3" s="1788"/>
      <c r="G3" s="1788"/>
      <c r="H3" s="1788"/>
      <c r="I3" s="1788"/>
      <c r="J3" s="1788"/>
      <c r="K3" s="1788"/>
      <c r="L3" s="1788"/>
    </row>
    <row r="4" spans="1:22" ht="13.8" thickTop="1">
      <c r="B4" s="1142"/>
      <c r="C4" s="1142"/>
      <c r="D4" s="1142"/>
      <c r="E4" s="1143" t="s">
        <v>670</v>
      </c>
      <c r="F4" s="1142"/>
      <c r="G4" s="1142"/>
      <c r="H4" s="1142"/>
      <c r="I4" s="1142"/>
      <c r="J4" s="1144"/>
      <c r="K4" s="1142"/>
      <c r="L4" s="1145"/>
    </row>
    <row r="5" spans="1:22" ht="15.6">
      <c r="B5" s="1146"/>
      <c r="C5" s="1146" t="s">
        <v>678</v>
      </c>
      <c r="D5" s="1146"/>
      <c r="E5" s="1147" t="s">
        <v>671</v>
      </c>
      <c r="F5" s="1789" t="s">
        <v>672</v>
      </c>
      <c r="G5" s="1790"/>
      <c r="H5" s="1790"/>
      <c r="I5" s="1791"/>
      <c r="J5" s="1148"/>
      <c r="K5" s="1146"/>
      <c r="L5" s="1149" t="s">
        <v>671</v>
      </c>
    </row>
    <row r="6" spans="1:22">
      <c r="B6" s="1146"/>
      <c r="C6" s="1146" t="s">
        <v>679</v>
      </c>
      <c r="D6" s="1146"/>
      <c r="E6" s="1150" t="str">
        <f>'KEY INPUTS'!D45</f>
        <v>Dec. 31, 2018</v>
      </c>
      <c r="F6" s="1147" t="s">
        <v>673</v>
      </c>
      <c r="G6" s="1147" t="s">
        <v>320</v>
      </c>
      <c r="H6" s="1148"/>
      <c r="I6" s="1148"/>
      <c r="J6" s="1148"/>
      <c r="K6" s="1151" t="s">
        <v>677</v>
      </c>
      <c r="L6" s="1152" t="str">
        <f>'KEY INPUTS'!D46</f>
        <v>Dec. 31, 2019</v>
      </c>
    </row>
    <row r="7" spans="1:22" ht="13.8" thickBot="1">
      <c r="B7" s="1153"/>
      <c r="C7" s="1153"/>
      <c r="D7" s="1153"/>
      <c r="E7" s="1154"/>
      <c r="F7" s="1155" t="s">
        <v>674</v>
      </c>
      <c r="G7" s="1155" t="s">
        <v>676</v>
      </c>
      <c r="H7" s="1154"/>
      <c r="I7" s="1154"/>
      <c r="J7" s="1154"/>
      <c r="K7" s="1156"/>
      <c r="L7" s="1157"/>
    </row>
    <row r="8" spans="1:22" ht="21" customHeight="1" thickTop="1">
      <c r="B8" s="1158" t="s">
        <v>781</v>
      </c>
      <c r="C8" s="1158"/>
      <c r="D8" s="1159"/>
      <c r="E8" s="1088" t="s">
        <v>787</v>
      </c>
      <c r="F8" s="1088" t="s">
        <v>787</v>
      </c>
      <c r="G8" s="1088" t="s">
        <v>787</v>
      </c>
      <c r="H8" s="1088" t="s">
        <v>787</v>
      </c>
      <c r="I8" s="1088" t="s">
        <v>787</v>
      </c>
      <c r="J8" s="1088" t="s">
        <v>787</v>
      </c>
      <c r="K8" s="1088" t="s">
        <v>787</v>
      </c>
      <c r="L8" s="867" t="s">
        <v>787</v>
      </c>
      <c r="P8" s="322"/>
      <c r="Q8" s="322"/>
      <c r="R8" s="322"/>
      <c r="S8" s="322"/>
      <c r="T8" s="322"/>
      <c r="U8" s="322"/>
      <c r="V8" s="322"/>
    </row>
    <row r="9" spans="1:22" ht="21" customHeight="1">
      <c r="B9" s="648"/>
      <c r="C9" s="648"/>
      <c r="D9" s="652"/>
      <c r="E9" s="601"/>
      <c r="F9" s="601"/>
      <c r="G9" s="601"/>
      <c r="H9" s="601"/>
      <c r="I9" s="601"/>
      <c r="J9" s="601"/>
      <c r="K9" s="601"/>
      <c r="L9" s="1081">
        <f>+E9+F9+G9+H9+I9+J9-K9</f>
        <v>0</v>
      </c>
      <c r="P9" s="322"/>
      <c r="Q9" s="322"/>
      <c r="R9" s="322"/>
      <c r="S9" s="322"/>
      <c r="T9" s="322"/>
      <c r="U9" s="322"/>
      <c r="V9" s="322"/>
    </row>
    <row r="10" spans="1:22" ht="21" customHeight="1">
      <c r="B10" s="648"/>
      <c r="C10" s="648"/>
      <c r="D10" s="652"/>
      <c r="E10" s="601"/>
      <c r="F10" s="601"/>
      <c r="G10" s="601"/>
      <c r="H10" s="601"/>
      <c r="I10" s="601"/>
      <c r="J10" s="601"/>
      <c r="K10" s="601"/>
      <c r="L10" s="1081">
        <f t="shared" ref="L10:L25" si="0">+E10+F10+G10+H10+I10+J10-K10</f>
        <v>0</v>
      </c>
      <c r="P10" s="377"/>
      <c r="Q10" s="322"/>
      <c r="R10" s="322"/>
      <c r="S10" s="322"/>
      <c r="T10" s="322"/>
      <c r="U10" s="322"/>
      <c r="V10" s="322"/>
    </row>
    <row r="11" spans="1:22" ht="21" customHeight="1">
      <c r="B11" s="648"/>
      <c r="C11" s="648"/>
      <c r="D11" s="652"/>
      <c r="E11" s="601"/>
      <c r="F11" s="601"/>
      <c r="G11" s="601"/>
      <c r="H11" s="601"/>
      <c r="I11" s="601"/>
      <c r="J11" s="601"/>
      <c r="K11" s="601"/>
      <c r="L11" s="1081">
        <f t="shared" si="0"/>
        <v>0</v>
      </c>
      <c r="P11" s="322"/>
      <c r="Q11" s="322"/>
      <c r="R11" s="322"/>
      <c r="S11" s="322"/>
      <c r="T11" s="322"/>
      <c r="U11" s="322"/>
      <c r="V11" s="322"/>
    </row>
    <row r="12" spans="1:22" ht="21" customHeight="1">
      <c r="B12" s="648"/>
      <c r="C12" s="648"/>
      <c r="D12" s="652"/>
      <c r="E12" s="601"/>
      <c r="F12" s="601"/>
      <c r="G12" s="601"/>
      <c r="H12" s="601"/>
      <c r="I12" s="601"/>
      <c r="J12" s="601"/>
      <c r="K12" s="601"/>
      <c r="L12" s="1081">
        <f t="shared" si="0"/>
        <v>0</v>
      </c>
      <c r="P12" s="322"/>
      <c r="Q12" s="322"/>
      <c r="R12" s="322"/>
      <c r="S12" s="322"/>
      <c r="T12" s="322"/>
      <c r="U12" s="322"/>
      <c r="V12" s="322"/>
    </row>
    <row r="13" spans="1:22" ht="21" customHeight="1">
      <c r="B13" s="648"/>
      <c r="C13" s="648"/>
      <c r="D13" s="652"/>
      <c r="E13" s="604"/>
      <c r="F13" s="601"/>
      <c r="G13" s="601"/>
      <c r="H13" s="601"/>
      <c r="I13" s="601"/>
      <c r="J13" s="601"/>
      <c r="K13" s="601"/>
      <c r="L13" s="1081">
        <f t="shared" si="0"/>
        <v>0</v>
      </c>
      <c r="P13" s="322"/>
      <c r="Q13" s="322"/>
      <c r="R13" s="322"/>
      <c r="S13" s="322"/>
      <c r="T13" s="322"/>
      <c r="U13" s="322"/>
      <c r="V13" s="322"/>
    </row>
    <row r="14" spans="1:22" ht="21" customHeight="1">
      <c r="B14" s="1139" t="s">
        <v>782</v>
      </c>
      <c r="C14" s="1139"/>
      <c r="D14" s="1165"/>
      <c r="E14" s="973" t="s">
        <v>787</v>
      </c>
      <c r="F14" s="973" t="s">
        <v>787</v>
      </c>
      <c r="G14" s="973" t="s">
        <v>787</v>
      </c>
      <c r="H14" s="973" t="s">
        <v>787</v>
      </c>
      <c r="I14" s="973" t="s">
        <v>787</v>
      </c>
      <c r="J14" s="973" t="s">
        <v>787</v>
      </c>
      <c r="K14" s="973" t="s">
        <v>787</v>
      </c>
      <c r="L14" s="869" t="s">
        <v>787</v>
      </c>
      <c r="P14" s="322"/>
      <c r="Q14" s="322"/>
      <c r="R14" s="322"/>
      <c r="S14" s="322"/>
      <c r="T14" s="322"/>
      <c r="U14" s="322"/>
      <c r="V14" s="322"/>
    </row>
    <row r="15" spans="1:22" ht="21" customHeight="1">
      <c r="A15" s="1792" t="s">
        <v>3416</v>
      </c>
      <c r="B15" s="648"/>
      <c r="C15" s="648"/>
      <c r="D15" s="652"/>
      <c r="E15" s="601"/>
      <c r="F15" s="601"/>
      <c r="G15" s="601"/>
      <c r="H15" s="601"/>
      <c r="I15" s="601"/>
      <c r="J15" s="601"/>
      <c r="K15" s="601"/>
      <c r="L15" s="1081">
        <f t="shared" si="0"/>
        <v>0</v>
      </c>
      <c r="P15" s="322"/>
      <c r="Q15" s="322"/>
      <c r="R15" s="322"/>
      <c r="S15" s="322"/>
      <c r="T15" s="322"/>
      <c r="U15" s="322"/>
      <c r="V15" s="322"/>
    </row>
    <row r="16" spans="1:22" ht="21" customHeight="1">
      <c r="A16" s="1792"/>
      <c r="B16" s="648"/>
      <c r="C16" s="648"/>
      <c r="D16" s="652"/>
      <c r="E16" s="601"/>
      <c r="F16" s="601"/>
      <c r="G16" s="601"/>
      <c r="H16" s="601"/>
      <c r="I16" s="601"/>
      <c r="J16" s="601"/>
      <c r="K16" s="601"/>
      <c r="L16" s="1081">
        <f t="shared" si="0"/>
        <v>0</v>
      </c>
      <c r="P16" s="322"/>
      <c r="Q16" s="322"/>
      <c r="R16" s="322"/>
      <c r="S16" s="322"/>
      <c r="T16" s="322"/>
      <c r="U16" s="322"/>
      <c r="V16" s="322"/>
    </row>
    <row r="17" spans="1:22" ht="21" customHeight="1">
      <c r="A17" s="1792"/>
      <c r="B17" s="648"/>
      <c r="C17" s="648"/>
      <c r="D17" s="652"/>
      <c r="E17" s="601"/>
      <c r="F17" s="601"/>
      <c r="G17" s="601"/>
      <c r="H17" s="601"/>
      <c r="I17" s="601"/>
      <c r="J17" s="601"/>
      <c r="K17" s="601"/>
      <c r="L17" s="1081">
        <f t="shared" si="0"/>
        <v>0</v>
      </c>
      <c r="P17" s="322"/>
      <c r="Q17" s="322"/>
      <c r="R17" s="322"/>
      <c r="S17" s="322"/>
      <c r="T17" s="322"/>
      <c r="U17" s="322"/>
      <c r="V17" s="322"/>
    </row>
    <row r="18" spans="1:22" ht="21" customHeight="1">
      <c r="B18" s="648"/>
      <c r="C18" s="648"/>
      <c r="D18" s="652"/>
      <c r="E18" s="601"/>
      <c r="F18" s="601"/>
      <c r="G18" s="601"/>
      <c r="H18" s="601"/>
      <c r="I18" s="601"/>
      <c r="J18" s="601"/>
      <c r="K18" s="601"/>
      <c r="L18" s="1081">
        <f t="shared" si="0"/>
        <v>0</v>
      </c>
      <c r="P18" s="322"/>
      <c r="Q18" s="322"/>
      <c r="R18" s="322"/>
      <c r="S18" s="322"/>
      <c r="T18" s="322"/>
      <c r="U18" s="322"/>
      <c r="V18" s="322"/>
    </row>
    <row r="19" spans="1:22" ht="21" customHeight="1">
      <c r="B19" s="1139" t="s">
        <v>783</v>
      </c>
      <c r="C19" s="1139"/>
      <c r="D19" s="1165"/>
      <c r="E19" s="601"/>
      <c r="F19" s="601"/>
      <c r="G19" s="601"/>
      <c r="H19" s="601"/>
      <c r="I19" s="601"/>
      <c r="J19" s="601"/>
      <c r="K19" s="601"/>
      <c r="L19" s="1081">
        <f t="shared" si="0"/>
        <v>0</v>
      </c>
      <c r="P19" s="322"/>
      <c r="Q19" s="322"/>
      <c r="R19" s="322"/>
      <c r="S19" s="322"/>
      <c r="T19" s="322"/>
      <c r="U19" s="322"/>
      <c r="V19" s="322"/>
    </row>
    <row r="20" spans="1:22" ht="21" customHeight="1">
      <c r="B20" s="1139" t="s">
        <v>784</v>
      </c>
      <c r="C20" s="1139"/>
      <c r="D20" s="1165"/>
      <c r="E20" s="601"/>
      <c r="F20" s="601"/>
      <c r="G20" s="601"/>
      <c r="H20" s="601"/>
      <c r="I20" s="601"/>
      <c r="J20" s="601"/>
      <c r="K20" s="601"/>
      <c r="L20" s="1081">
        <f t="shared" si="0"/>
        <v>0</v>
      </c>
      <c r="P20" s="322"/>
      <c r="Q20" s="322"/>
      <c r="R20" s="322"/>
      <c r="S20" s="322"/>
      <c r="T20" s="322"/>
      <c r="U20" s="322"/>
      <c r="V20" s="322"/>
    </row>
    <row r="21" spans="1:22" ht="21" customHeight="1">
      <c r="B21" s="1139" t="s">
        <v>321</v>
      </c>
      <c r="C21" s="1139"/>
      <c r="D21" s="1165"/>
      <c r="E21" s="973" t="s">
        <v>787</v>
      </c>
      <c r="F21" s="973" t="s">
        <v>787</v>
      </c>
      <c r="G21" s="973" t="s">
        <v>787</v>
      </c>
      <c r="H21" s="973" t="s">
        <v>787</v>
      </c>
      <c r="I21" s="973" t="s">
        <v>787</v>
      </c>
      <c r="J21" s="973" t="s">
        <v>787</v>
      </c>
      <c r="K21" s="973" t="s">
        <v>787</v>
      </c>
      <c r="L21" s="869" t="s">
        <v>787</v>
      </c>
      <c r="P21" s="322"/>
      <c r="Q21" s="322"/>
      <c r="R21" s="322"/>
      <c r="S21" s="322"/>
      <c r="T21" s="322"/>
      <c r="U21" s="322"/>
      <c r="V21" s="322"/>
    </row>
    <row r="22" spans="1:22" ht="21" customHeight="1">
      <c r="B22" s="648"/>
      <c r="C22" s="648"/>
      <c r="D22" s="652"/>
      <c r="E22" s="601"/>
      <c r="F22" s="601"/>
      <c r="G22" s="601"/>
      <c r="H22" s="601"/>
      <c r="I22" s="601"/>
      <c r="J22" s="601"/>
      <c r="K22" s="601"/>
      <c r="L22" s="1081">
        <f t="shared" si="0"/>
        <v>0</v>
      </c>
      <c r="P22" s="322"/>
      <c r="Q22" s="322"/>
      <c r="R22" s="322"/>
      <c r="S22" s="322"/>
      <c r="T22" s="322"/>
      <c r="U22" s="322"/>
      <c r="V22" s="322"/>
    </row>
    <row r="23" spans="1:22" ht="21" customHeight="1">
      <c r="B23" s="648"/>
      <c r="C23" s="648"/>
      <c r="D23" s="652"/>
      <c r="E23" s="601"/>
      <c r="F23" s="601"/>
      <c r="G23" s="601"/>
      <c r="H23" s="601"/>
      <c r="I23" s="601"/>
      <c r="J23" s="601"/>
      <c r="K23" s="601"/>
      <c r="L23" s="1081">
        <f t="shared" si="0"/>
        <v>0</v>
      </c>
      <c r="P23" s="322"/>
      <c r="Q23" s="322"/>
      <c r="R23" s="322"/>
      <c r="S23" s="322"/>
      <c r="T23" s="322"/>
      <c r="U23" s="322"/>
      <c r="V23" s="322"/>
    </row>
    <row r="24" spans="1:22" ht="21" customHeight="1">
      <c r="B24" s="648"/>
      <c r="C24" s="648"/>
      <c r="D24" s="652"/>
      <c r="E24" s="601"/>
      <c r="F24" s="601"/>
      <c r="G24" s="601"/>
      <c r="H24" s="601"/>
      <c r="I24" s="601"/>
      <c r="J24" s="601"/>
      <c r="K24" s="601"/>
      <c r="L24" s="1081">
        <f t="shared" si="0"/>
        <v>0</v>
      </c>
      <c r="P24" s="322"/>
      <c r="Q24" s="322"/>
      <c r="R24" s="322"/>
      <c r="S24" s="322"/>
      <c r="T24" s="322"/>
      <c r="U24" s="322"/>
      <c r="V24" s="322"/>
    </row>
    <row r="25" spans="1:22" ht="21" customHeight="1" thickBot="1">
      <c r="B25" s="648"/>
      <c r="C25" s="648"/>
      <c r="D25" s="652"/>
      <c r="E25" s="627"/>
      <c r="F25" s="627"/>
      <c r="G25" s="627"/>
      <c r="H25" s="627"/>
      <c r="I25" s="627"/>
      <c r="J25" s="627"/>
      <c r="K25" s="627"/>
      <c r="L25" s="1160">
        <f t="shared" si="0"/>
        <v>0</v>
      </c>
    </row>
    <row r="26" spans="1:22" ht="21" customHeight="1" thickTop="1" thickBot="1">
      <c r="B26" s="1162"/>
      <c r="C26" s="1162"/>
      <c r="D26" s="1163"/>
      <c r="E26" s="1083">
        <f t="shared" ref="E26:K26" si="1">SUM(E9:E25)</f>
        <v>0</v>
      </c>
      <c r="F26" s="1083">
        <f t="shared" si="1"/>
        <v>0</v>
      </c>
      <c r="G26" s="1083">
        <f t="shared" si="1"/>
        <v>0</v>
      </c>
      <c r="H26" s="1083">
        <f t="shared" si="1"/>
        <v>0</v>
      </c>
      <c r="I26" s="1083">
        <f t="shared" si="1"/>
        <v>0</v>
      </c>
      <c r="J26" s="1083">
        <f t="shared" si="1"/>
        <v>0</v>
      </c>
      <c r="K26" s="1083">
        <f t="shared" si="1"/>
        <v>0</v>
      </c>
      <c r="L26" s="1161">
        <f>SUM(L9:L25)</f>
        <v>0</v>
      </c>
    </row>
    <row r="27" spans="1:22" ht="13.8" thickTop="1">
      <c r="B27" s="1164" t="s">
        <v>786</v>
      </c>
      <c r="C27" s="1146"/>
      <c r="D27" s="1146"/>
      <c r="E27" s="1146"/>
      <c r="F27" s="1146"/>
      <c r="G27" s="1146"/>
      <c r="H27" s="1146"/>
      <c r="I27" s="1146"/>
      <c r="J27" s="1146"/>
      <c r="K27" s="1146"/>
      <c r="L27" s="1146"/>
    </row>
  </sheetData>
  <sheetProtection password="CAF9" sheet="1" objects="1" scenarios="1"/>
  <customSheetViews>
    <customSheetView guid="{AC653BD0-46E3-42CB-9C76-32121A57B65A}">
      <selection activeCell="L20" sqref="L20"/>
      <pageMargins left="0.25" right="0.25" top="0.5" bottom="0.5" header="0.25" footer="0.25"/>
      <pageSetup paperSize="5" orientation="landscape" r:id="rId1"/>
      <headerFooter alignWithMargins="0"/>
    </customSheetView>
    <customSheetView guid="{B165479B-DC25-403C-9595-F1A88A4AA9A2}">
      <selection activeCell="L20" sqref="L20"/>
      <pageMargins left="0.25" right="0.25" top="0.5" bottom="0.5" header="0.25" footer="0.25"/>
      <pageSetup paperSize="5" orientation="landscape" r:id="rId2"/>
      <headerFooter alignWithMargins="0"/>
    </customSheetView>
    <customSheetView guid="{A64E4C9E-A3DA-4AAA-8607-F524450B9436}">
      <selection activeCell="L20" sqref="L20"/>
      <pageMargins left="0.25" right="0.25" top="0.5" bottom="0.5" header="0.25" footer="0.25"/>
      <pageSetup paperSize="5" orientation="landscape" r:id="rId3"/>
      <headerFooter alignWithMargins="0"/>
    </customSheetView>
    <customSheetView guid="{AB4FBD91-4533-473A-9702-569FF6402073}">
      <selection activeCell="L20" sqref="L20"/>
      <pageMargins left="0.25" right="0.25" top="0.5" bottom="0.5" header="0.25" footer="0.25"/>
      <pageSetup paperSize="5" orientation="landscape" r:id="rId4"/>
      <headerFooter alignWithMargins="0"/>
    </customSheetView>
  </customSheetViews>
  <mergeCells count="4">
    <mergeCell ref="B2:L2"/>
    <mergeCell ref="B3:L3"/>
    <mergeCell ref="F5:I5"/>
    <mergeCell ref="A15:A17"/>
  </mergeCells>
  <pageMargins left="0.25" right="0.25" top="0.5" bottom="0.5" header="0.25" footer="0.25"/>
  <pageSetup paperSize="5" orientation="landscape" r:id="rId5"/>
  <headerFooter alignWithMargins="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3">
    <tabColor theme="3" tint="0.39997558519241921"/>
  </sheetPr>
  <dimension ref="B1:T55"/>
  <sheetViews>
    <sheetView zoomScaleNormal="100" zoomScaleSheetLayoutView="80" workbookViewId="0">
      <selection activeCell="B14" sqref="B14"/>
    </sheetView>
  </sheetViews>
  <sheetFormatPr defaultColWidth="8.88671875" defaultRowHeight="13.2"/>
  <cols>
    <col min="1" max="1" width="4.6640625" style="398" customWidth="1"/>
    <col min="2" max="3" width="3.6640625" style="398" customWidth="1"/>
    <col min="4" max="4" width="4.6640625" style="398" customWidth="1"/>
    <col min="5" max="5" width="8.88671875" style="398"/>
    <col min="6" max="6" width="16.6640625" style="398" customWidth="1"/>
    <col min="7" max="7" width="8.6640625" style="398" customWidth="1"/>
    <col min="8" max="10" width="16.6640625" style="398" customWidth="1"/>
    <col min="11" max="11" width="8.88671875" style="398"/>
    <col min="12" max="12" width="11.33203125" style="398" bestFit="1" customWidth="1"/>
    <col min="13" max="16384" width="8.88671875" style="398"/>
  </cols>
  <sheetData>
    <row r="1" spans="2:20">
      <c r="B1" s="1114"/>
      <c r="C1" s="1114"/>
      <c r="D1" s="1114"/>
      <c r="E1" s="1114"/>
      <c r="F1" s="1114"/>
      <c r="G1" s="1114"/>
      <c r="H1" s="1114"/>
      <c r="I1" s="1114"/>
      <c r="J1" s="1114"/>
    </row>
    <row r="2" spans="2:20" ht="22.8">
      <c r="B2" s="1759" t="str">
        <f>"SCHEDULE  OF "&amp;UPPER('KEY INPUTS'!D53)&amp;" UTILITY  BUDGET  -  "&amp;TEXT('KEY INPUTS'!D34,"0")&amp;""</f>
        <v>SCHEDULE  OF  UTILITY  BUDGET  -  2019</v>
      </c>
      <c r="C2" s="1759"/>
      <c r="D2" s="1759"/>
      <c r="E2" s="1759"/>
      <c r="F2" s="1759"/>
      <c r="G2" s="1759"/>
      <c r="H2" s="1759"/>
      <c r="I2" s="1759"/>
      <c r="J2" s="1759"/>
    </row>
    <row r="3" spans="2:20" ht="12" customHeight="1">
      <c r="B3" s="1301"/>
      <c r="C3" s="1301"/>
      <c r="D3" s="1301"/>
      <c r="E3" s="1301"/>
      <c r="F3" s="1301"/>
      <c r="G3" s="1301"/>
      <c r="H3" s="1301"/>
      <c r="I3" s="1301"/>
      <c r="J3" s="1301"/>
    </row>
    <row r="4" spans="2:20" ht="17.25" customHeight="1" thickBot="1">
      <c r="B4" s="1919" t="s">
        <v>1055</v>
      </c>
      <c r="C4" s="1919"/>
      <c r="D4" s="1919"/>
      <c r="E4" s="1919"/>
      <c r="F4" s="1919"/>
      <c r="G4" s="1919"/>
      <c r="H4" s="1919"/>
      <c r="I4" s="1919"/>
      <c r="J4" s="1919"/>
    </row>
    <row r="5" spans="2:20" ht="13.8" thickTop="1">
      <c r="B5" s="1920" t="s">
        <v>211</v>
      </c>
      <c r="C5" s="1920"/>
      <c r="D5" s="1920"/>
      <c r="E5" s="1920"/>
      <c r="F5" s="1920"/>
      <c r="G5" s="1885"/>
      <c r="H5" s="1238" t="s">
        <v>676</v>
      </c>
      <c r="I5" s="1238" t="s">
        <v>803</v>
      </c>
      <c r="J5" s="1302" t="s">
        <v>424</v>
      </c>
    </row>
    <row r="6" spans="2:20" ht="13.8" thickBot="1">
      <c r="B6" s="1921"/>
      <c r="C6" s="1921"/>
      <c r="D6" s="1921"/>
      <c r="E6" s="1921"/>
      <c r="F6" s="1921"/>
      <c r="G6" s="1922"/>
      <c r="H6" s="1303"/>
      <c r="I6" s="1303" t="s">
        <v>423</v>
      </c>
      <c r="J6" s="1304" t="s">
        <v>425</v>
      </c>
    </row>
    <row r="7" spans="2:20" ht="21" customHeight="1" thickTop="1">
      <c r="B7" s="1170" t="s">
        <v>3433</v>
      </c>
      <c r="C7" s="1170"/>
      <c r="D7" s="1170"/>
      <c r="E7" s="1170"/>
      <c r="F7" s="1170"/>
      <c r="G7" s="1305" t="s">
        <v>3432</v>
      </c>
      <c r="H7" s="605"/>
      <c r="I7" s="1309">
        <f>H7</f>
        <v>0</v>
      </c>
      <c r="J7" s="1203">
        <f>+I7-H7</f>
        <v>0</v>
      </c>
    </row>
    <row r="8" spans="2:20" ht="10.5" customHeight="1">
      <c r="B8" s="1209" t="s">
        <v>3431</v>
      </c>
      <c r="C8" s="1114"/>
      <c r="D8" s="1114"/>
      <c r="E8" s="1114"/>
      <c r="F8" s="1114"/>
      <c r="G8" s="1306"/>
      <c r="H8" s="1308"/>
      <c r="I8" s="1308"/>
      <c r="J8" s="1118"/>
    </row>
    <row r="9" spans="2:20">
      <c r="B9" s="1128" t="s">
        <v>214</v>
      </c>
      <c r="C9" s="1128"/>
      <c r="D9" s="1128"/>
      <c r="E9" s="1128"/>
      <c r="F9" s="1128"/>
      <c r="G9" s="1307" t="s">
        <v>3430</v>
      </c>
      <c r="H9" s="653"/>
      <c r="I9" s="653"/>
      <c r="J9" s="858">
        <f t="shared" ref="J9:J15" si="0">+I9-H9</f>
        <v>0</v>
      </c>
    </row>
    <row r="10" spans="2:20" ht="21" customHeight="1">
      <c r="B10" s="648"/>
      <c r="C10" s="648"/>
      <c r="D10" s="648"/>
      <c r="E10" s="648"/>
      <c r="F10" s="648"/>
      <c r="G10" s="1166"/>
      <c r="H10" s="780"/>
      <c r="I10" s="780"/>
      <c r="J10" s="1310">
        <f t="shared" si="0"/>
        <v>0</v>
      </c>
      <c r="N10" s="322"/>
      <c r="O10" s="322"/>
      <c r="P10" s="322"/>
      <c r="Q10" s="322"/>
      <c r="R10" s="322"/>
      <c r="S10" s="322"/>
      <c r="T10" s="322"/>
    </row>
    <row r="11" spans="2:20" ht="21" customHeight="1">
      <c r="B11" s="648"/>
      <c r="C11" s="648"/>
      <c r="D11" s="648"/>
      <c r="E11" s="648"/>
      <c r="F11" s="648"/>
      <c r="G11" s="1166"/>
      <c r="H11" s="780"/>
      <c r="I11" s="780"/>
      <c r="J11" s="1124">
        <f t="shared" si="0"/>
        <v>0</v>
      </c>
      <c r="N11" s="322"/>
      <c r="O11" s="322"/>
      <c r="P11" s="322"/>
      <c r="Q11" s="322"/>
      <c r="R11" s="322"/>
      <c r="S11" s="322"/>
      <c r="T11" s="322"/>
    </row>
    <row r="12" spans="2:20" ht="21" customHeight="1">
      <c r="B12" s="648"/>
      <c r="C12" s="648"/>
      <c r="D12" s="648"/>
      <c r="E12" s="648"/>
      <c r="F12" s="648"/>
      <c r="G12" s="1166"/>
      <c r="H12" s="780"/>
      <c r="I12" s="780"/>
      <c r="J12" s="1124">
        <f t="shared" si="0"/>
        <v>0</v>
      </c>
      <c r="N12" s="377"/>
      <c r="O12" s="322"/>
      <c r="P12" s="322"/>
      <c r="Q12" s="322"/>
      <c r="R12" s="322"/>
      <c r="S12" s="322"/>
      <c r="T12" s="322"/>
    </row>
    <row r="13" spans="2:20" ht="21" customHeight="1">
      <c r="B13" s="648"/>
      <c r="C13" s="648"/>
      <c r="D13" s="648"/>
      <c r="E13" s="648"/>
      <c r="F13" s="648"/>
      <c r="G13" s="1166"/>
      <c r="H13" s="780"/>
      <c r="I13" s="780"/>
      <c r="J13" s="1124">
        <f t="shared" si="0"/>
        <v>0</v>
      </c>
      <c r="N13" s="322"/>
      <c r="O13" s="322"/>
      <c r="P13" s="322"/>
      <c r="Q13" s="322"/>
      <c r="R13" s="322"/>
      <c r="S13" s="322"/>
      <c r="T13" s="322"/>
    </row>
    <row r="14" spans="2:20" ht="21" customHeight="1">
      <c r="B14" s="648"/>
      <c r="C14" s="648"/>
      <c r="D14" s="648"/>
      <c r="E14" s="648"/>
      <c r="F14" s="648"/>
      <c r="G14" s="1166"/>
      <c r="H14" s="780"/>
      <c r="I14" s="780"/>
      <c r="J14" s="1124">
        <f t="shared" si="0"/>
        <v>0</v>
      </c>
      <c r="N14" s="322"/>
      <c r="O14" s="322"/>
      <c r="P14" s="322"/>
      <c r="Q14" s="322"/>
      <c r="R14" s="322"/>
      <c r="S14" s="322"/>
      <c r="T14" s="322"/>
    </row>
    <row r="15" spans="2:20" ht="21" customHeight="1">
      <c r="B15" s="690" t="s">
        <v>3429</v>
      </c>
      <c r="C15" s="690"/>
      <c r="D15" s="690"/>
      <c r="E15" s="690"/>
      <c r="F15" s="690"/>
      <c r="G15" s="1307" t="s">
        <v>3425</v>
      </c>
      <c r="H15" s="780"/>
      <c r="I15" s="780"/>
      <c r="J15" s="1124">
        <f t="shared" si="0"/>
        <v>0</v>
      </c>
      <c r="N15" s="322"/>
      <c r="O15" s="322"/>
      <c r="P15" s="322"/>
      <c r="Q15" s="322"/>
      <c r="R15" s="322"/>
      <c r="S15" s="322"/>
      <c r="T15" s="322"/>
    </row>
    <row r="16" spans="2:20" ht="21" customHeight="1">
      <c r="B16" s="690" t="s">
        <v>3428</v>
      </c>
      <c r="C16" s="690"/>
      <c r="D16" s="690"/>
      <c r="E16" s="690"/>
      <c r="F16" s="690"/>
      <c r="G16" s="1307"/>
      <c r="H16" s="780"/>
      <c r="I16" s="780"/>
      <c r="J16" s="1124"/>
      <c r="N16" s="322"/>
      <c r="O16" s="322"/>
      <c r="P16" s="322"/>
      <c r="Q16" s="322"/>
      <c r="R16" s="322"/>
      <c r="S16" s="322"/>
      <c r="T16" s="322"/>
    </row>
    <row r="17" spans="2:20" ht="21" customHeight="1">
      <c r="B17" s="690" t="s">
        <v>422</v>
      </c>
      <c r="C17" s="690"/>
      <c r="D17" s="690"/>
      <c r="E17" s="690"/>
      <c r="F17" s="690"/>
      <c r="G17" s="1307"/>
      <c r="H17" s="1174" t="s">
        <v>787</v>
      </c>
      <c r="I17" s="1174" t="s">
        <v>787</v>
      </c>
      <c r="J17" s="1300" t="s">
        <v>787</v>
      </c>
      <c r="N17" s="322"/>
      <c r="O17" s="322"/>
      <c r="P17" s="322"/>
      <c r="Q17" s="322"/>
      <c r="R17" s="322"/>
      <c r="S17" s="322"/>
      <c r="T17" s="322"/>
    </row>
    <row r="18" spans="2:20" ht="21" customHeight="1">
      <c r="B18" s="648"/>
      <c r="C18" s="648"/>
      <c r="D18" s="648"/>
      <c r="E18" s="648"/>
      <c r="F18" s="648"/>
      <c r="G18" s="648"/>
      <c r="H18" s="601"/>
      <c r="I18" s="601"/>
      <c r="J18" s="609"/>
      <c r="N18" s="322"/>
      <c r="O18" s="322"/>
      <c r="P18" s="322"/>
      <c r="Q18" s="322"/>
      <c r="R18" s="322"/>
      <c r="S18" s="322"/>
      <c r="T18" s="322"/>
    </row>
    <row r="19" spans="2:20" ht="21" customHeight="1" thickBot="1">
      <c r="B19" s="648"/>
      <c r="C19" s="648"/>
      <c r="D19" s="648"/>
      <c r="E19" s="648"/>
      <c r="F19" s="648"/>
      <c r="G19" s="648"/>
      <c r="H19" s="627"/>
      <c r="I19" s="627"/>
      <c r="J19" s="671"/>
      <c r="N19" s="322"/>
      <c r="O19" s="322"/>
      <c r="P19" s="322"/>
      <c r="Q19" s="322"/>
      <c r="R19" s="322"/>
      <c r="S19" s="322"/>
      <c r="T19" s="322"/>
    </row>
    <row r="20" spans="2:20" ht="21" customHeight="1" thickTop="1">
      <c r="B20" s="690"/>
      <c r="C20" s="690"/>
      <c r="D20" s="690" t="s">
        <v>421</v>
      </c>
      <c r="E20" s="690"/>
      <c r="F20" s="690"/>
      <c r="G20" s="1312"/>
      <c r="H20" s="1315">
        <f>SUM(H7:H19)</f>
        <v>0</v>
      </c>
      <c r="I20" s="1315">
        <f>SUM(I7:I19)</f>
        <v>0</v>
      </c>
      <c r="J20" s="858">
        <f>SUM(J7:J19)</f>
        <v>0</v>
      </c>
      <c r="N20" s="322"/>
      <c r="O20" s="322"/>
      <c r="P20" s="322"/>
      <c r="Q20" s="322"/>
      <c r="R20" s="322"/>
      <c r="S20" s="322"/>
      <c r="T20" s="322"/>
    </row>
    <row r="21" spans="2:20" ht="21" customHeight="1" thickBot="1">
      <c r="B21" s="690" t="s">
        <v>3427</v>
      </c>
      <c r="C21" s="1313"/>
      <c r="D21" s="1313"/>
      <c r="E21" s="690"/>
      <c r="F21" s="690"/>
      <c r="G21" s="1307" t="s">
        <v>3426</v>
      </c>
      <c r="H21" s="654"/>
      <c r="I21" s="654"/>
      <c r="J21" s="1118">
        <f>I21-H21</f>
        <v>0</v>
      </c>
      <c r="N21" s="322"/>
      <c r="O21" s="322"/>
      <c r="P21" s="322"/>
      <c r="Q21" s="322"/>
      <c r="R21" s="322"/>
      <c r="S21" s="322"/>
      <c r="T21" s="322"/>
    </row>
    <row r="22" spans="2:20" ht="21" customHeight="1" thickTop="1" thickBot="1">
      <c r="B22" s="1114"/>
      <c r="C22" s="1114"/>
      <c r="D22" s="1114"/>
      <c r="E22" s="1114"/>
      <c r="F22" s="1114"/>
      <c r="G22" s="1314" t="s">
        <v>3425</v>
      </c>
      <c r="H22" s="1316">
        <f>+H20+H21</f>
        <v>0</v>
      </c>
      <c r="I22" s="1316">
        <f>+I20+I21</f>
        <v>0</v>
      </c>
      <c r="J22" s="1311">
        <f>+J20+J21</f>
        <v>0</v>
      </c>
      <c r="L22" s="399" t="s">
        <v>3406</v>
      </c>
      <c r="N22" s="322"/>
      <c r="O22" s="322"/>
      <c r="P22" s="322"/>
      <c r="Q22" s="322"/>
      <c r="R22" s="322"/>
      <c r="S22" s="322"/>
      <c r="T22" s="322"/>
    </row>
    <row r="23" spans="2:20" ht="13.8" thickTop="1">
      <c r="B23" s="427" t="s">
        <v>3424</v>
      </c>
      <c r="N23" s="322"/>
      <c r="O23" s="322"/>
      <c r="P23" s="322"/>
      <c r="Q23" s="322"/>
      <c r="R23" s="322"/>
      <c r="S23" s="322"/>
      <c r="T23" s="322"/>
    </row>
    <row r="24" spans="2:20">
      <c r="B24" s="427" t="s">
        <v>3423</v>
      </c>
      <c r="N24" s="322"/>
      <c r="O24" s="322"/>
      <c r="P24" s="322"/>
      <c r="Q24" s="322"/>
      <c r="R24" s="322"/>
      <c r="S24" s="322"/>
      <c r="T24" s="322"/>
    </row>
    <row r="25" spans="2:20">
      <c r="N25" s="322"/>
      <c r="O25" s="322"/>
      <c r="P25" s="322"/>
      <c r="Q25" s="322"/>
      <c r="R25" s="322"/>
      <c r="S25" s="322"/>
      <c r="T25" s="322"/>
    </row>
    <row r="26" spans="2:20">
      <c r="N26" s="322"/>
      <c r="O26" s="322"/>
      <c r="P26" s="322"/>
      <c r="Q26" s="322"/>
      <c r="R26" s="322"/>
      <c r="S26" s="322"/>
      <c r="T26" s="322"/>
    </row>
    <row r="27" spans="2:20" ht="17.25" customHeight="1" thickBot="1">
      <c r="B27" s="1919" t="s">
        <v>426</v>
      </c>
      <c r="C27" s="1919"/>
      <c r="D27" s="1919"/>
      <c r="E27" s="1919"/>
      <c r="F27" s="1919"/>
      <c r="G27" s="1919"/>
      <c r="H27" s="1919"/>
      <c r="I27" s="1919"/>
      <c r="J27" s="1919"/>
    </row>
    <row r="28" spans="2:20" ht="21" customHeight="1" thickTop="1">
      <c r="B28" s="1317" t="s">
        <v>427</v>
      </c>
      <c r="C28" s="1318"/>
      <c r="D28" s="1318"/>
      <c r="E28" s="1318"/>
      <c r="F28" s="1318"/>
      <c r="G28" s="1318"/>
      <c r="H28" s="1318"/>
      <c r="I28" s="1319"/>
      <c r="J28" s="1320" t="s">
        <v>787</v>
      </c>
    </row>
    <row r="29" spans="2:20" ht="21" customHeight="1">
      <c r="B29" s="1321"/>
      <c r="C29" s="1322" t="s">
        <v>222</v>
      </c>
      <c r="D29" s="1322"/>
      <c r="E29" s="1322"/>
      <c r="F29" s="1322"/>
      <c r="G29" s="1322"/>
      <c r="H29" s="1322"/>
      <c r="I29" s="1323"/>
      <c r="J29" s="655"/>
    </row>
    <row r="30" spans="2:20" ht="21" customHeight="1">
      <c r="B30" s="1321"/>
      <c r="C30" s="1322" t="s">
        <v>428</v>
      </c>
      <c r="D30" s="1322"/>
      <c r="E30" s="1322"/>
      <c r="F30" s="1322"/>
      <c r="G30" s="1322"/>
      <c r="H30" s="1322"/>
      <c r="I30" s="1323"/>
      <c r="J30" s="655"/>
    </row>
    <row r="31" spans="2:20" ht="21" customHeight="1" thickBot="1">
      <c r="B31" s="1321"/>
      <c r="C31" s="1322" t="s">
        <v>429</v>
      </c>
      <c r="D31" s="1322"/>
      <c r="E31" s="1322"/>
      <c r="F31" s="1322"/>
      <c r="G31" s="1322"/>
      <c r="H31" s="1322"/>
      <c r="I31" s="1323"/>
      <c r="J31" s="657"/>
    </row>
    <row r="32" spans="2:20" ht="21" customHeight="1" thickTop="1">
      <c r="B32" s="1321" t="s">
        <v>430</v>
      </c>
      <c r="C32" s="1322"/>
      <c r="D32" s="1322"/>
      <c r="E32" s="1322"/>
      <c r="F32" s="1322"/>
      <c r="G32" s="1322"/>
      <c r="H32" s="1322"/>
      <c r="I32" s="1324"/>
      <c r="J32" s="1325">
        <f>SUM(J29:J31)</f>
        <v>0</v>
      </c>
    </row>
    <row r="33" spans="2:13" ht="21" customHeight="1" thickBot="1">
      <c r="B33" s="1321" t="s">
        <v>431</v>
      </c>
      <c r="C33" s="1322"/>
      <c r="D33" s="1322"/>
      <c r="E33" s="1322"/>
      <c r="F33" s="1322"/>
      <c r="G33" s="1322"/>
      <c r="H33" s="1322"/>
      <c r="I33" s="1324"/>
      <c r="J33" s="656"/>
    </row>
    <row r="34" spans="2:13" ht="21" customHeight="1" thickTop="1">
      <c r="B34" s="1321" t="s">
        <v>916</v>
      </c>
      <c r="C34" s="1322"/>
      <c r="D34" s="1322"/>
      <c r="E34" s="1322"/>
      <c r="F34" s="1322"/>
      <c r="G34" s="1322"/>
      <c r="H34" s="1322"/>
      <c r="I34" s="1324"/>
      <c r="J34" s="1325">
        <f>+J32+J33</f>
        <v>0</v>
      </c>
    </row>
    <row r="35" spans="2:13" ht="21" customHeight="1">
      <c r="B35" s="1321" t="s">
        <v>432</v>
      </c>
      <c r="C35" s="1322"/>
      <c r="D35" s="1322"/>
      <c r="E35" s="1322"/>
      <c r="F35" s="1322"/>
      <c r="G35" s="1322"/>
      <c r="H35" s="1322"/>
      <c r="I35" s="1324"/>
      <c r="J35" s="1326"/>
    </row>
    <row r="36" spans="2:13" ht="21" customHeight="1">
      <c r="B36" s="1328"/>
      <c r="C36" s="1328" t="s">
        <v>753</v>
      </c>
      <c r="D36" s="1328"/>
      <c r="E36" s="1328"/>
      <c r="F36" s="1328"/>
      <c r="G36" s="1328"/>
      <c r="H36" s="1328"/>
      <c r="I36" s="658"/>
      <c r="J36" s="1327"/>
    </row>
    <row r="37" spans="2:13" ht="21" customHeight="1">
      <c r="B37" s="1328"/>
      <c r="C37" s="1328" t="s">
        <v>920</v>
      </c>
      <c r="D37" s="1328"/>
      <c r="E37" s="1328"/>
      <c r="F37" s="1328"/>
      <c r="G37" s="1328"/>
      <c r="H37" s="1328"/>
      <c r="I37" s="658"/>
      <c r="J37" s="1327"/>
    </row>
    <row r="38" spans="2:13" ht="21" customHeight="1" thickBot="1">
      <c r="B38" s="1328" t="s">
        <v>433</v>
      </c>
      <c r="C38" s="1328"/>
      <c r="D38" s="1328"/>
      <c r="E38" s="1328"/>
      <c r="F38" s="1328"/>
      <c r="G38" s="1328"/>
      <c r="H38" s="1328"/>
      <c r="I38" s="659"/>
      <c r="J38" s="655"/>
      <c r="M38" s="399"/>
    </row>
    <row r="39" spans="2:13" ht="21" customHeight="1" thickTop="1" thickBot="1">
      <c r="B39" s="1328" t="s">
        <v>921</v>
      </c>
      <c r="C39" s="1328"/>
      <c r="D39" s="1328"/>
      <c r="E39" s="1328"/>
      <c r="F39" s="1328"/>
      <c r="G39" s="1328"/>
      <c r="H39" s="1328"/>
      <c r="I39" s="1329"/>
      <c r="J39" s="1331">
        <f>SUM(I36:I38)</f>
        <v>0</v>
      </c>
    </row>
    <row r="40" spans="2:13" ht="21" customHeight="1" thickTop="1" thickBot="1">
      <c r="B40" s="1328" t="s">
        <v>434</v>
      </c>
      <c r="C40" s="1328"/>
      <c r="D40" s="1328"/>
      <c r="E40" s="1328"/>
      <c r="F40" s="1328"/>
      <c r="G40" s="1328"/>
      <c r="H40" s="1328"/>
      <c r="I40" s="1330"/>
      <c r="J40" s="1332">
        <f>+J34-J39</f>
        <v>0</v>
      </c>
      <c r="K40" s="399"/>
    </row>
    <row r="41" spans="2:13" ht="13.8" thickTop="1"/>
    <row r="42" spans="2:13">
      <c r="B42" s="427" t="s">
        <v>3422</v>
      </c>
      <c r="C42" s="427"/>
      <c r="D42" s="427"/>
      <c r="E42" s="427"/>
      <c r="F42" s="427"/>
    </row>
    <row r="43" spans="2:13">
      <c r="B43" s="427"/>
      <c r="C43" s="427" t="s">
        <v>3421</v>
      </c>
      <c r="D43" s="427"/>
      <c r="E43" s="427"/>
      <c r="F43" s="427"/>
    </row>
    <row r="44" spans="2:13">
      <c r="B44" s="427"/>
      <c r="C44" s="427"/>
      <c r="D44" s="427" t="s">
        <v>3420</v>
      </c>
      <c r="E44" s="427"/>
      <c r="F44" s="427"/>
      <c r="M44" s="399"/>
    </row>
    <row r="45" spans="2:13">
      <c r="B45" s="427"/>
      <c r="C45" s="427" t="s">
        <v>43</v>
      </c>
      <c r="D45" s="427"/>
      <c r="E45" s="427"/>
      <c r="F45" s="427"/>
    </row>
    <row r="46" spans="2:13">
      <c r="B46" s="427"/>
      <c r="C46" s="427" t="s">
        <v>3419</v>
      </c>
      <c r="D46" s="427"/>
      <c r="E46" s="427"/>
      <c r="F46" s="427"/>
    </row>
    <row r="47" spans="2:13">
      <c r="B47" s="427"/>
      <c r="C47" s="427"/>
      <c r="D47" s="427" t="s">
        <v>3418</v>
      </c>
      <c r="E47" s="427"/>
      <c r="F47" s="427"/>
    </row>
    <row r="48" spans="2:13">
      <c r="B48" s="427"/>
      <c r="C48" s="427"/>
      <c r="D48" s="427"/>
      <c r="E48" s="427"/>
      <c r="F48" s="427"/>
    </row>
    <row r="55" spans="2:10" ht="13.8">
      <c r="B55" s="1765" t="s">
        <v>3417</v>
      </c>
      <c r="C55" s="1765"/>
      <c r="D55" s="1765"/>
      <c r="E55" s="1765"/>
      <c r="F55" s="1765"/>
      <c r="G55" s="1765"/>
      <c r="H55" s="1765"/>
      <c r="I55" s="1765"/>
      <c r="J55" s="1765"/>
    </row>
  </sheetData>
  <sheetProtection algorithmName="SHA-512" hashValue="Ze8KYMz/vr34xcuvAfColkyMqBl4Yc4qEMq3BrQNxCjM/WqPSGmLCkqjEMKTNwtlD8y/oZw9WLZRp3e6stJSiA==" saltValue="hqITGM5BvKJWb8606PrPWw==" spinCount="100000" sheet="1" objects="1" scenarios="1"/>
  <customSheetViews>
    <customSheetView guid="{AC653BD0-46E3-42CB-9C76-32121A57B65A}">
      <selection activeCell="B14" sqref="B14"/>
      <pageMargins left="0.25" right="0.25" top="0.5" bottom="0.5" header="0.25" footer="0.25"/>
      <pageSetup paperSize="5" orientation="portrait" r:id="rId1"/>
      <headerFooter alignWithMargins="0"/>
    </customSheetView>
    <customSheetView guid="{B165479B-DC25-403C-9595-F1A88A4AA9A2}">
      <selection activeCell="B14" sqref="B14"/>
      <pageMargins left="0.25" right="0.25" top="0.5" bottom="0.5" header="0.25" footer="0.25"/>
      <pageSetup paperSize="5" orientation="portrait" r:id="rId2"/>
      <headerFooter alignWithMargins="0"/>
    </customSheetView>
    <customSheetView guid="{A64E4C9E-A3DA-4AAA-8607-F524450B9436}">
      <selection activeCell="B14" sqref="B14"/>
      <pageMargins left="0.25" right="0.25" top="0.5" bottom="0.5" header="0.25" footer="0.25"/>
      <pageSetup paperSize="5" orientation="portrait" r:id="rId3"/>
      <headerFooter alignWithMargins="0"/>
    </customSheetView>
    <customSheetView guid="{AB4FBD91-4533-473A-9702-569FF6402073}">
      <selection activeCell="B14" sqref="B14"/>
      <pageMargins left="0.25" right="0.25" top="0.5" bottom="0.5" header="0.25" footer="0.25"/>
      <pageSetup paperSize="5" orientation="portrait" r:id="rId4"/>
      <headerFooter alignWithMargins="0"/>
    </customSheetView>
  </customSheetViews>
  <mergeCells count="5">
    <mergeCell ref="B2:J2"/>
    <mergeCell ref="B4:J4"/>
    <mergeCell ref="B5:G6"/>
    <mergeCell ref="B27:J27"/>
    <mergeCell ref="B55:J55"/>
  </mergeCells>
  <pageMargins left="0.25" right="0.25" top="0.5" bottom="0.5" header="0.25" footer="0.25"/>
  <pageSetup paperSize="5" orientation="portrait" r:id="rId5"/>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4">
    <tabColor theme="3" tint="0.39997558519241921"/>
  </sheetPr>
  <dimension ref="B1:T57"/>
  <sheetViews>
    <sheetView zoomScaleNormal="100" zoomScaleSheetLayoutView="80" workbookViewId="0">
      <selection activeCell="J31" sqref="J31"/>
    </sheetView>
  </sheetViews>
  <sheetFormatPr defaultColWidth="8.88671875" defaultRowHeight="13.2"/>
  <cols>
    <col min="1" max="1" width="4.6640625" style="398" customWidth="1"/>
    <col min="2" max="2" width="6.109375" style="398" customWidth="1"/>
    <col min="3" max="3" width="3.33203125" style="398" customWidth="1"/>
    <col min="4" max="4" width="2.6640625" style="398" customWidth="1"/>
    <col min="5" max="5" width="8.88671875" style="398"/>
    <col min="6" max="6" width="5.88671875" style="398" customWidth="1"/>
    <col min="7" max="7" width="8.88671875" style="398"/>
    <col min="8" max="8" width="16" style="398" customWidth="1"/>
    <col min="9" max="9" width="8.88671875" style="398"/>
    <col min="10" max="11" width="16.6640625" style="398" customWidth="1"/>
    <col min="12" max="12" width="8.88671875" style="398"/>
    <col min="13" max="13" width="11.33203125" style="398" customWidth="1"/>
    <col min="14" max="16384" width="8.88671875" style="398"/>
  </cols>
  <sheetData>
    <row r="1" spans="2:20">
      <c r="B1" s="1114"/>
      <c r="C1" s="1114"/>
      <c r="D1" s="1114"/>
      <c r="E1" s="1114"/>
      <c r="F1" s="1114"/>
      <c r="G1" s="1114"/>
      <c r="H1" s="1114"/>
      <c r="I1" s="1114"/>
      <c r="J1" s="1114"/>
      <c r="K1" s="1114"/>
    </row>
    <row r="2" spans="2:20">
      <c r="B2" s="1114"/>
      <c r="C2" s="1114"/>
      <c r="D2" s="1114"/>
      <c r="E2" s="1114"/>
      <c r="F2" s="1114"/>
      <c r="G2" s="1114"/>
      <c r="H2" s="1114"/>
      <c r="I2" s="1114"/>
      <c r="J2" s="1114"/>
      <c r="K2" s="1114"/>
    </row>
    <row r="3" spans="2:20" ht="22.8">
      <c r="B3" s="1759" t="str">
        <f>"STATEMENT  OF  "&amp;TEXT('KEY INPUTS'!D34,"0")&amp;"  OPERATION"</f>
        <v>STATEMENT  OF  2019  OPERATION</v>
      </c>
      <c r="C3" s="1759"/>
      <c r="D3" s="1759"/>
      <c r="E3" s="1759"/>
      <c r="F3" s="1759"/>
      <c r="G3" s="1759"/>
      <c r="H3" s="1759"/>
      <c r="I3" s="1759"/>
      <c r="J3" s="1759"/>
      <c r="K3" s="1759"/>
    </row>
    <row r="4" spans="2:20">
      <c r="B4" s="1114"/>
      <c r="C4" s="1114"/>
      <c r="D4" s="1114"/>
      <c r="E4" s="1114"/>
      <c r="F4" s="1114"/>
      <c r="G4" s="1114"/>
      <c r="H4" s="1114"/>
      <c r="I4" s="1114"/>
      <c r="J4" s="1114"/>
      <c r="K4" s="1114"/>
    </row>
    <row r="5" spans="2:20" ht="20.399999999999999">
      <c r="B5" s="1788" t="str">
        <f>UPPER('KEY INPUTS'!D53)&amp;" UTILITY"</f>
        <v xml:space="preserve"> UTILITY</v>
      </c>
      <c r="C5" s="1788"/>
      <c r="D5" s="1788"/>
      <c r="E5" s="1788"/>
      <c r="F5" s="1788"/>
      <c r="G5" s="1788"/>
      <c r="H5" s="1788"/>
      <c r="I5" s="1788"/>
      <c r="J5" s="1788"/>
      <c r="K5" s="1788"/>
    </row>
    <row r="6" spans="2:20">
      <c r="B6" s="1114"/>
      <c r="C6" s="1114"/>
      <c r="D6" s="1114"/>
      <c r="E6" s="1114"/>
      <c r="F6" s="1114"/>
      <c r="G6" s="1114"/>
      <c r="H6" s="1114"/>
      <c r="I6" s="1114"/>
      <c r="J6" s="1114"/>
      <c r="K6" s="1114"/>
    </row>
    <row r="7" spans="2:20">
      <c r="B7" s="1114"/>
      <c r="C7" s="1114"/>
      <c r="D7" s="1114"/>
      <c r="E7" s="1114"/>
      <c r="F7" s="1114"/>
      <c r="G7" s="1114"/>
      <c r="H7" s="1114"/>
      <c r="I7" s="1114"/>
      <c r="J7" s="1114"/>
      <c r="K7" s="1114"/>
    </row>
    <row r="8" spans="2:20">
      <c r="B8" s="1114" t="s">
        <v>408</v>
      </c>
      <c r="C8" s="1189" t="str">
        <f>"Section 1 of this sheet is required to be filled out ONLY IF the "&amp;TEXT('KEY INPUTS'!D34,"0")&amp;" "&amp;PROPER('KEY INPUTS'!D53)&amp;" Utility Budget contained"</f>
        <v>Section 1 of this sheet is required to be filled out ONLY IF the 2019  Utility Budget contained</v>
      </c>
      <c r="D8" s="1114"/>
      <c r="E8" s="1114"/>
      <c r="F8" s="1114"/>
      <c r="G8" s="1114"/>
      <c r="H8" s="1114"/>
      <c r="I8" s="1114"/>
      <c r="J8" s="1114"/>
      <c r="K8" s="1114"/>
    </row>
    <row r="9" spans="2:20">
      <c r="B9" s="1114"/>
      <c r="C9" s="1114" t="s">
        <v>435</v>
      </c>
      <c r="D9" s="1114"/>
      <c r="E9" s="1114"/>
      <c r="F9" s="1114"/>
      <c r="G9" s="1114"/>
      <c r="H9" s="1114"/>
      <c r="I9" s="1114"/>
      <c r="J9" s="1114"/>
      <c r="K9" s="1114"/>
    </row>
    <row r="10" spans="2:20">
      <c r="B10" s="1114"/>
      <c r="C10" s="1114" t="s">
        <v>436</v>
      </c>
      <c r="D10" s="1114"/>
      <c r="E10" s="1114"/>
      <c r="F10" s="1114"/>
      <c r="G10" s="1114"/>
      <c r="H10" s="1114"/>
      <c r="I10" s="1114"/>
      <c r="J10" s="1114"/>
      <c r="K10" s="1114"/>
    </row>
    <row r="11" spans="2:20">
      <c r="B11" s="1114"/>
      <c r="C11" s="1167" t="s">
        <v>3437</v>
      </c>
      <c r="D11" s="1114"/>
      <c r="E11" s="1114"/>
      <c r="F11" s="1114"/>
      <c r="G11" s="1114"/>
      <c r="H11" s="1114"/>
      <c r="I11" s="1114"/>
      <c r="J11" s="1114"/>
      <c r="K11" s="1114"/>
    </row>
    <row r="12" spans="2:20">
      <c r="B12" s="1114"/>
      <c r="C12" s="1114"/>
      <c r="D12" s="1114"/>
      <c r="E12" s="1114"/>
      <c r="F12" s="1114"/>
      <c r="G12" s="1114"/>
      <c r="H12" s="1114"/>
      <c r="I12" s="1114"/>
      <c r="J12" s="1114"/>
      <c r="K12" s="1114"/>
    </row>
    <row r="13" spans="2:20" ht="17.399999999999999">
      <c r="B13" s="1168" t="s">
        <v>437</v>
      </c>
      <c r="C13" s="1114"/>
      <c r="D13" s="1114"/>
      <c r="E13" s="1114"/>
      <c r="F13" s="1114"/>
      <c r="G13" s="1114"/>
      <c r="H13" s="1114"/>
      <c r="I13" s="1114"/>
      <c r="J13" s="1114"/>
      <c r="K13" s="1114"/>
    </row>
    <row r="14" spans="2:20" ht="13.8" thickBot="1">
      <c r="B14" s="1169"/>
      <c r="C14" s="1169"/>
      <c r="D14" s="1169"/>
      <c r="E14" s="1169"/>
      <c r="F14" s="1169"/>
      <c r="G14" s="1169"/>
      <c r="H14" s="1169"/>
      <c r="I14" s="1169"/>
      <c r="J14" s="1169"/>
      <c r="K14" s="1169"/>
    </row>
    <row r="15" spans="2:20" ht="21" customHeight="1" thickTop="1">
      <c r="B15" s="1170" t="s">
        <v>438</v>
      </c>
      <c r="C15" s="1170"/>
      <c r="D15" s="1170"/>
      <c r="E15" s="1170"/>
      <c r="F15" s="1170"/>
      <c r="G15" s="1170"/>
      <c r="H15" s="1170"/>
      <c r="I15" s="1170"/>
      <c r="J15" s="1171" t="s">
        <v>787</v>
      </c>
      <c r="K15" s="841"/>
      <c r="N15" s="322"/>
      <c r="O15" s="322"/>
      <c r="P15" s="322"/>
      <c r="Q15" s="322"/>
      <c r="R15" s="322"/>
      <c r="S15" s="322"/>
      <c r="T15" s="322"/>
    </row>
    <row r="16" spans="2:20" ht="21" customHeight="1">
      <c r="B16" s="690"/>
      <c r="C16" s="690" t="s">
        <v>439</v>
      </c>
      <c r="D16" s="690"/>
      <c r="E16" s="690"/>
      <c r="F16" s="690"/>
      <c r="G16" s="690"/>
      <c r="H16" s="690"/>
      <c r="I16" s="690"/>
      <c r="J16" s="842">
        <f>+'44-Utility2'!I20</f>
        <v>0</v>
      </c>
      <c r="K16" s="841"/>
      <c r="N16" s="322"/>
      <c r="O16" s="322"/>
      <c r="P16" s="322"/>
      <c r="Q16" s="322"/>
      <c r="R16" s="322"/>
      <c r="S16" s="322"/>
      <c r="T16" s="322"/>
    </row>
    <row r="17" spans="2:20" ht="21" customHeight="1">
      <c r="B17" s="690"/>
      <c r="C17" s="690" t="s">
        <v>440</v>
      </c>
      <c r="D17" s="690"/>
      <c r="E17" s="690"/>
      <c r="F17" s="690"/>
      <c r="G17" s="690"/>
      <c r="H17" s="690"/>
      <c r="I17" s="690"/>
      <c r="J17" s="575"/>
      <c r="K17" s="841"/>
      <c r="N17" s="377"/>
      <c r="O17" s="322"/>
      <c r="P17" s="322"/>
      <c r="Q17" s="322"/>
      <c r="R17" s="322"/>
      <c r="S17" s="322"/>
      <c r="T17" s="322"/>
    </row>
    <row r="18" spans="2:20" ht="21" customHeight="1">
      <c r="B18" s="690"/>
      <c r="C18" s="914" t="str">
        <f>TEXT('KEY INPUTS'!D35,"0")&amp;" Appropriation Reserves Canceled in "&amp;TEXT('KEY INPUTS'!D34,0)</f>
        <v>2018 Appropriation Reserves Canceled in 2019</v>
      </c>
      <c r="D18" s="1172"/>
      <c r="E18" s="1172"/>
      <c r="F18" s="1172"/>
      <c r="G18" s="1172"/>
      <c r="H18" s="690"/>
      <c r="I18" s="690"/>
      <c r="J18" s="1029">
        <f>J48</f>
        <v>0</v>
      </c>
      <c r="K18" s="841"/>
      <c r="N18" s="322"/>
      <c r="O18" s="322"/>
      <c r="P18" s="322"/>
      <c r="Q18" s="322"/>
      <c r="R18" s="322"/>
      <c r="S18" s="322"/>
      <c r="T18" s="322"/>
    </row>
    <row r="19" spans="2:20" ht="21" customHeight="1">
      <c r="B19" s="690"/>
      <c r="C19" s="648"/>
      <c r="D19" s="648"/>
      <c r="E19" s="648"/>
      <c r="F19" s="648"/>
      <c r="G19" s="648"/>
      <c r="H19" s="648"/>
      <c r="I19" s="648"/>
      <c r="J19" s="374"/>
      <c r="K19" s="841"/>
      <c r="N19" s="322"/>
      <c r="O19" s="322"/>
      <c r="P19" s="322"/>
      <c r="Q19" s="322"/>
      <c r="R19" s="322"/>
      <c r="S19" s="322"/>
      <c r="T19" s="322"/>
    </row>
    <row r="20" spans="2:20" ht="21" customHeight="1">
      <c r="B20" s="690"/>
      <c r="C20" s="648"/>
      <c r="D20" s="648"/>
      <c r="E20" s="648"/>
      <c r="F20" s="648"/>
      <c r="G20" s="648"/>
      <c r="H20" s="648"/>
      <c r="I20" s="648"/>
      <c r="J20" s="374"/>
      <c r="K20" s="841"/>
      <c r="N20" s="322"/>
      <c r="O20" s="322"/>
      <c r="P20" s="322"/>
      <c r="Q20" s="322"/>
      <c r="R20" s="322"/>
      <c r="S20" s="322"/>
      <c r="T20" s="322"/>
    </row>
    <row r="21" spans="2:20" ht="21" customHeight="1">
      <c r="B21" s="690"/>
      <c r="C21" s="690" t="s">
        <v>441</v>
      </c>
      <c r="D21" s="690"/>
      <c r="E21" s="690"/>
      <c r="F21" s="690"/>
      <c r="G21" s="690"/>
      <c r="H21" s="690"/>
      <c r="I21" s="690"/>
      <c r="J21" s="575"/>
      <c r="K21" s="851">
        <f>SUM(J16:J20)</f>
        <v>0</v>
      </c>
      <c r="N21" s="322"/>
      <c r="O21" s="322"/>
      <c r="P21" s="322"/>
      <c r="Q21" s="322"/>
      <c r="R21" s="322"/>
      <c r="S21" s="322"/>
      <c r="T21" s="322"/>
    </row>
    <row r="22" spans="2:20" ht="21" customHeight="1">
      <c r="B22" s="690" t="s">
        <v>442</v>
      </c>
      <c r="C22" s="690"/>
      <c r="D22" s="690"/>
      <c r="E22" s="690"/>
      <c r="F22" s="690"/>
      <c r="G22" s="690"/>
      <c r="H22" s="690"/>
      <c r="I22" s="690"/>
      <c r="J22" s="1174" t="s">
        <v>787</v>
      </c>
      <c r="K22" s="841"/>
      <c r="N22" s="322"/>
      <c r="O22" s="322"/>
      <c r="P22" s="322"/>
      <c r="Q22" s="322"/>
      <c r="R22" s="322"/>
      <c r="S22" s="322"/>
      <c r="T22" s="322"/>
    </row>
    <row r="23" spans="2:20" ht="21" customHeight="1">
      <c r="B23" s="690"/>
      <c r="C23" s="690" t="s">
        <v>443</v>
      </c>
      <c r="D23" s="690"/>
      <c r="E23" s="690"/>
      <c r="F23" s="690"/>
      <c r="G23" s="690"/>
      <c r="H23" s="690"/>
      <c r="I23" s="690"/>
      <c r="J23" s="1174" t="s">
        <v>787</v>
      </c>
      <c r="K23" s="841"/>
      <c r="N23" s="322"/>
      <c r="O23" s="322"/>
      <c r="P23" s="322"/>
      <c r="Q23" s="322"/>
      <c r="R23" s="322"/>
      <c r="S23" s="322"/>
      <c r="T23" s="322"/>
    </row>
    <row r="24" spans="2:20" ht="21" customHeight="1">
      <c r="B24" s="690"/>
      <c r="C24" s="690"/>
      <c r="D24" s="690" t="s">
        <v>753</v>
      </c>
      <c r="E24" s="690"/>
      <c r="F24" s="690"/>
      <c r="G24" s="690"/>
      <c r="H24" s="690"/>
      <c r="I24" s="690"/>
      <c r="J24" s="842">
        <f>+'44-Utility2'!I36</f>
        <v>0</v>
      </c>
      <c r="K24" s="841"/>
      <c r="N24" s="322"/>
      <c r="O24" s="322"/>
      <c r="P24" s="322"/>
      <c r="Q24" s="322"/>
      <c r="R24" s="322"/>
      <c r="S24" s="322"/>
      <c r="T24" s="322"/>
    </row>
    <row r="25" spans="2:20" ht="21" customHeight="1">
      <c r="B25" s="690"/>
      <c r="C25" s="690"/>
      <c r="D25" s="690" t="s">
        <v>920</v>
      </c>
      <c r="E25" s="690"/>
      <c r="F25" s="690"/>
      <c r="G25" s="690"/>
      <c r="H25" s="690"/>
      <c r="I25" s="690"/>
      <c r="J25" s="842">
        <f>+'44-Utility2'!I37</f>
        <v>0</v>
      </c>
      <c r="K25" s="841"/>
      <c r="N25" s="322"/>
      <c r="O25" s="322"/>
      <c r="P25" s="322"/>
      <c r="Q25" s="322"/>
      <c r="R25" s="322"/>
      <c r="S25" s="322"/>
      <c r="T25" s="322"/>
    </row>
    <row r="26" spans="2:20" ht="21" customHeight="1">
      <c r="B26" s="690"/>
      <c r="C26" s="690" t="s">
        <v>444</v>
      </c>
      <c r="D26" s="690"/>
      <c r="E26" s="690"/>
      <c r="F26" s="690"/>
      <c r="G26" s="690"/>
      <c r="H26" s="690"/>
      <c r="I26" s="690"/>
      <c r="J26" s="575"/>
      <c r="K26" s="841"/>
      <c r="N26" s="322"/>
      <c r="O26" s="322"/>
      <c r="P26" s="322"/>
      <c r="Q26" s="322"/>
      <c r="R26" s="322"/>
      <c r="S26" s="322"/>
      <c r="T26" s="322"/>
    </row>
    <row r="27" spans="2:20" ht="21" customHeight="1">
      <c r="B27" s="690"/>
      <c r="C27" s="690" t="s">
        <v>445</v>
      </c>
      <c r="D27" s="690"/>
      <c r="E27" s="690"/>
      <c r="F27" s="690"/>
      <c r="G27" s="690"/>
      <c r="H27" s="690"/>
      <c r="I27" s="690"/>
      <c r="J27" s="575"/>
      <c r="K27" s="841"/>
      <c r="N27" s="322"/>
      <c r="O27" s="322"/>
      <c r="P27" s="322"/>
      <c r="Q27" s="322"/>
      <c r="R27" s="322"/>
      <c r="S27" s="322"/>
      <c r="T27" s="322"/>
    </row>
    <row r="28" spans="2:20" ht="21" customHeight="1" thickBot="1">
      <c r="B28" s="690"/>
      <c r="C28" s="648"/>
      <c r="D28" s="648"/>
      <c r="E28" s="648"/>
      <c r="F28" s="648"/>
      <c r="G28" s="648"/>
      <c r="H28" s="648"/>
      <c r="I28" s="648"/>
      <c r="J28" s="1022"/>
      <c r="K28" s="841"/>
      <c r="N28" s="322"/>
      <c r="O28" s="322"/>
      <c r="P28" s="322"/>
      <c r="Q28" s="322"/>
      <c r="R28" s="322"/>
      <c r="S28" s="322"/>
      <c r="T28" s="322"/>
    </row>
    <row r="29" spans="2:20" ht="21" customHeight="1">
      <c r="B29" s="690"/>
      <c r="C29" s="690"/>
      <c r="D29" s="690"/>
      <c r="E29" s="690"/>
      <c r="F29" s="690" t="s">
        <v>921</v>
      </c>
      <c r="G29" s="690"/>
      <c r="H29" s="690"/>
      <c r="I29" s="690"/>
      <c r="J29" s="848">
        <f>SUM(J24:J28)</f>
        <v>0</v>
      </c>
      <c r="K29" s="841"/>
      <c r="N29" s="322"/>
      <c r="O29" s="322"/>
      <c r="P29" s="322"/>
      <c r="Q29" s="322"/>
      <c r="R29" s="322"/>
      <c r="S29" s="322"/>
      <c r="T29" s="322"/>
    </row>
    <row r="30" spans="2:20" ht="11.25" customHeight="1">
      <c r="B30" s="1114"/>
      <c r="C30" s="1114"/>
      <c r="D30" s="1114"/>
      <c r="E30" s="1114"/>
      <c r="F30" s="1114" t="s">
        <v>949</v>
      </c>
      <c r="G30" s="1114" t="s">
        <v>950</v>
      </c>
      <c r="H30" s="1114"/>
      <c r="I30" s="1114"/>
      <c r="J30" s="1177"/>
      <c r="K30" s="841"/>
      <c r="N30" s="322"/>
      <c r="O30" s="322"/>
      <c r="P30" s="322"/>
      <c r="Q30" s="322"/>
      <c r="R30" s="322"/>
      <c r="S30" s="322"/>
      <c r="T30" s="322"/>
    </row>
    <row r="31" spans="2:20" ht="13.5" customHeight="1">
      <c r="B31" s="1128"/>
      <c r="C31" s="1128"/>
      <c r="D31" s="1128"/>
      <c r="E31" s="1128"/>
      <c r="F31" s="1128"/>
      <c r="G31" s="1128" t="s">
        <v>951</v>
      </c>
      <c r="H31" s="1128"/>
      <c r="I31" s="1178"/>
      <c r="J31" s="1489"/>
      <c r="K31" s="1175"/>
      <c r="N31" s="322"/>
      <c r="O31" s="322"/>
      <c r="P31" s="322"/>
      <c r="Q31" s="322"/>
      <c r="R31" s="322"/>
      <c r="S31" s="322"/>
      <c r="T31" s="322"/>
    </row>
    <row r="32" spans="2:20" ht="21" customHeight="1" thickBot="1">
      <c r="B32" s="1180"/>
      <c r="C32" s="1180"/>
      <c r="D32" s="1180" t="s">
        <v>952</v>
      </c>
      <c r="E32" s="1180"/>
      <c r="F32" s="1180"/>
      <c r="G32" s="1180"/>
      <c r="H32" s="1180"/>
      <c r="I32" s="1180"/>
      <c r="J32" s="1181"/>
      <c r="K32" s="1176">
        <f>+J29-J31</f>
        <v>0</v>
      </c>
    </row>
    <row r="33" spans="2:15" ht="21" customHeight="1" thickTop="1" thickBot="1">
      <c r="B33" s="1182" t="s">
        <v>953</v>
      </c>
      <c r="C33" s="1182"/>
      <c r="D33" s="1182"/>
      <c r="E33" s="1182"/>
      <c r="F33" s="1182"/>
      <c r="G33" s="1182"/>
      <c r="H33" s="1182"/>
      <c r="I33" s="1182"/>
      <c r="J33" s="1183"/>
      <c r="K33" s="1184">
        <f>IF(M33&gt;0,M33,0)</f>
        <v>0</v>
      </c>
      <c r="M33" s="399">
        <f>+K21-K32</f>
        <v>0</v>
      </c>
      <c r="N33" s="710" t="s">
        <v>3490</v>
      </c>
    </row>
    <row r="34" spans="2:15" ht="21" customHeight="1">
      <c r="B34" s="690" t="s">
        <v>954</v>
      </c>
      <c r="C34" s="690"/>
      <c r="D34" s="690"/>
      <c r="E34" s="690"/>
      <c r="F34" s="690"/>
      <c r="G34" s="690"/>
      <c r="H34" s="690"/>
      <c r="I34" s="690"/>
      <c r="J34" s="575"/>
      <c r="K34" s="841"/>
    </row>
    <row r="35" spans="2:15" ht="11.25" customHeight="1">
      <c r="B35" s="1800" t="s">
        <v>955</v>
      </c>
      <c r="C35" s="1800"/>
      <c r="D35" s="1800"/>
      <c r="E35" s="1189" t="str">
        <f>"Balance of Results of "&amp;TEXT('KEY INPUTS'!D34,"0")&amp;" Operation"</f>
        <v>Balance of Results of 2019 Operation</v>
      </c>
      <c r="F35" s="1114"/>
      <c r="G35" s="1114"/>
      <c r="H35" s="1114"/>
      <c r="I35" s="1114"/>
      <c r="J35" s="1177"/>
      <c r="K35" s="841"/>
    </row>
    <row r="36" spans="2:15" ht="12.75" customHeight="1" thickBot="1">
      <c r="B36" s="1801"/>
      <c r="C36" s="1801"/>
      <c r="D36" s="1801"/>
      <c r="E36" s="1128" t="s">
        <v>3782</v>
      </c>
      <c r="F36" s="1128"/>
      <c r="G36" s="1128"/>
      <c r="H36" s="1128"/>
      <c r="I36" s="1128"/>
      <c r="J36" s="1179">
        <f>+K33-J34</f>
        <v>0</v>
      </c>
      <c r="K36" s="841"/>
    </row>
    <row r="37" spans="2:15" ht="21" customHeight="1" thickBot="1">
      <c r="B37" s="1190"/>
      <c r="C37" s="1190"/>
      <c r="D37" s="1190"/>
      <c r="E37" s="1190"/>
      <c r="F37" s="1190"/>
      <c r="G37" s="1190"/>
      <c r="H37" s="1190"/>
      <c r="I37" s="1190"/>
      <c r="J37" s="1193"/>
      <c r="K37" s="1185"/>
    </row>
    <row r="38" spans="2:15" ht="21" customHeight="1" thickBot="1">
      <c r="B38" s="1191" t="s">
        <v>956</v>
      </c>
      <c r="C38" s="1191"/>
      <c r="D38" s="1191"/>
      <c r="E38" s="1191"/>
      <c r="F38" s="1191"/>
      <c r="G38" s="1191"/>
      <c r="H38" s="1191"/>
      <c r="I38" s="1191"/>
      <c r="J38" s="1194"/>
      <c r="K38" s="1186">
        <f>IF(+M33&gt;0,0,+M33*-1)</f>
        <v>0</v>
      </c>
    </row>
    <row r="39" spans="2:15" ht="21" customHeight="1">
      <c r="B39" s="690" t="s">
        <v>957</v>
      </c>
      <c r="C39" s="690"/>
      <c r="D39" s="690"/>
      <c r="E39" s="690"/>
      <c r="F39" s="690"/>
      <c r="G39" s="690"/>
      <c r="H39" s="690"/>
      <c r="I39" s="690"/>
      <c r="J39" s="1194">
        <f>+'44-Utility2'!I21</f>
        <v>0</v>
      </c>
      <c r="K39" s="841"/>
    </row>
    <row r="40" spans="2:15">
      <c r="B40" s="1802" t="s">
        <v>955</v>
      </c>
      <c r="C40" s="1802"/>
      <c r="D40" s="1802"/>
      <c r="E40" s="1189" t="str">
        <f>"Balance of Results of "&amp;TEXT('KEY INPUTS'!D34,"0")&amp;" Operation"</f>
        <v>Balance of Results of 2019 Operation</v>
      </c>
      <c r="F40" s="1192"/>
      <c r="G40" s="1192"/>
      <c r="H40" s="1192"/>
      <c r="I40" s="1192"/>
      <c r="J40" s="1177"/>
      <c r="K40" s="1187"/>
    </row>
    <row r="41" spans="2:15" ht="13.8" thickBot="1">
      <c r="B41" s="1803"/>
      <c r="C41" s="1803"/>
      <c r="D41" s="1803"/>
      <c r="E41" s="1169" t="s">
        <v>3436</v>
      </c>
      <c r="F41" s="1169"/>
      <c r="G41" s="1169"/>
      <c r="H41" s="1169"/>
      <c r="I41" s="1169"/>
      <c r="J41" s="1195">
        <f>+K38-J39</f>
        <v>0</v>
      </c>
      <c r="K41" s="1188"/>
      <c r="L41" s="739"/>
      <c r="O41" s="399"/>
    </row>
    <row r="42" spans="2:15" ht="13.8" thickTop="1">
      <c r="J42" s="464"/>
      <c r="K42" s="464"/>
    </row>
    <row r="43" spans="2:15" ht="17.399999999999999">
      <c r="B43" s="1168" t="s">
        <v>958</v>
      </c>
      <c r="C43" s="1114"/>
      <c r="D43" s="1114"/>
      <c r="E43" s="1114"/>
      <c r="F43" s="1114"/>
      <c r="G43" s="1114"/>
      <c r="H43" s="1114"/>
      <c r="I43" s="1114"/>
      <c r="J43" s="841"/>
      <c r="K43" s="841"/>
    </row>
    <row r="44" spans="2:15">
      <c r="B44" s="1189" t="str">
        <f>"The following Item of '"&amp;TEXT('KEY INPUTS'!D35,"0")&amp;" Appropriation Reserves Canceled in "&amp;TEXT('KEY INPUTS'!D34,"0")&amp;"' ""is Due to the Current Fund TO THE"</f>
        <v>The following Item of '2018 Appropriation Reserves Canceled in 2019' "is Due to the Current Fund TO THE</v>
      </c>
      <c r="C44" s="1114"/>
      <c r="D44" s="1114"/>
      <c r="E44" s="1114"/>
      <c r="F44" s="1114"/>
      <c r="G44" s="1114"/>
      <c r="H44" s="1114"/>
      <c r="I44" s="1114"/>
      <c r="J44" s="841"/>
      <c r="K44" s="841"/>
    </row>
    <row r="45" spans="2:15">
      <c r="B45" s="1189" t="str">
        <f>"EXTENT OF the amount received and Due from the General Budget of "&amp;TEXT('KEY INPUTS'!D34,"0")&amp;" for an Anticipated Deficit in the"</f>
        <v>EXTENT OF the amount received and Due from the General Budget of 2019 for an Anticipated Deficit in the</v>
      </c>
      <c r="C45" s="1114"/>
      <c r="D45" s="1114"/>
      <c r="E45" s="1114"/>
      <c r="F45" s="1114"/>
      <c r="G45" s="1114"/>
      <c r="H45" s="1114"/>
      <c r="I45" s="1114"/>
      <c r="J45" s="841"/>
      <c r="K45" s="841"/>
    </row>
    <row r="46" spans="2:15">
      <c r="B46" s="1189" t="str">
        <f>PROPER('KEY INPUTS'!D53)&amp;" Utility for "&amp;TEXT('KEY INPUTS'!D34,"0")&amp;""</f>
        <v xml:space="preserve"> Utility for 2019</v>
      </c>
      <c r="C46" s="1114"/>
      <c r="D46" s="1114"/>
      <c r="E46" s="1114"/>
      <c r="F46" s="1114"/>
      <c r="G46" s="1114"/>
      <c r="H46" s="1114"/>
      <c r="I46" s="1114"/>
      <c r="J46" s="841"/>
      <c r="K46" s="841"/>
      <c r="O46" s="322"/>
    </row>
    <row r="47" spans="2:15">
      <c r="B47" s="1114"/>
      <c r="C47" s="1114"/>
      <c r="D47" s="1114"/>
      <c r="E47" s="1114"/>
      <c r="F47" s="1114"/>
      <c r="G47" s="1114"/>
      <c r="H47" s="1114"/>
      <c r="I47" s="1114"/>
      <c r="J47" s="841"/>
      <c r="K47" s="841"/>
      <c r="O47" s="322"/>
    </row>
    <row r="48" spans="2:15" ht="21" customHeight="1">
      <c r="B48" s="914" t="str">
        <f>TEXT('KEY INPUTS'!D35,"0")&amp;" Appropriation Reserves Canceled in "&amp;TEXT('KEY INPUTS'!D34,0)</f>
        <v>2018 Appropriation Reserves Canceled in 2019</v>
      </c>
      <c r="C48" s="690"/>
      <c r="D48" s="690"/>
      <c r="E48" s="690"/>
      <c r="F48" s="690"/>
      <c r="G48" s="690"/>
      <c r="H48" s="690"/>
      <c r="I48" s="690"/>
      <c r="J48" s="374"/>
      <c r="K48" s="841"/>
      <c r="O48" s="322"/>
    </row>
    <row r="49" spans="2:15" ht="24" customHeight="1">
      <c r="B49" s="690"/>
      <c r="C49" s="1196" t="s">
        <v>949</v>
      </c>
      <c r="D49" s="690"/>
      <c r="E49" s="1798" t="str">
        <f>"Anticipated Deficit in "&amp;TEXT('KEY INPUTS'!D34,"0")&amp;" Budget - Amount Received and Due from Current Fund - If none, enter 'None '"""</f>
        <v>Anticipated Deficit in 2019 Budget - Amount Received and Due from Current Fund - If none, enter 'None '"</v>
      </c>
      <c r="F49" s="1798"/>
      <c r="G49" s="1798"/>
      <c r="H49" s="1798"/>
      <c r="I49" s="1799"/>
      <c r="J49" s="575"/>
      <c r="K49" s="841"/>
      <c r="O49" s="322"/>
    </row>
    <row r="50" spans="2:15" ht="21" customHeight="1">
      <c r="B50" s="690" t="s">
        <v>959</v>
      </c>
      <c r="C50" s="690"/>
      <c r="D50" s="690"/>
      <c r="E50" s="690"/>
      <c r="F50" s="690"/>
      <c r="G50" s="690"/>
      <c r="H50" s="690"/>
      <c r="I50" s="690"/>
      <c r="J50" s="663"/>
      <c r="K50" s="851">
        <f>+J48-J49</f>
        <v>0</v>
      </c>
    </row>
    <row r="52" spans="2:15">
      <c r="B52" s="463" t="s">
        <v>3435</v>
      </c>
    </row>
    <row r="53" spans="2:15">
      <c r="B53" s="463"/>
    </row>
    <row r="54" spans="2:15">
      <c r="B54" s="463"/>
    </row>
    <row r="55" spans="2:15">
      <c r="B55" s="463"/>
    </row>
    <row r="56" spans="2:15">
      <c r="B56" s="463"/>
    </row>
    <row r="57" spans="2:15" ht="13.8">
      <c r="B57" s="1765" t="s">
        <v>3434</v>
      </c>
      <c r="C57" s="1765"/>
      <c r="D57" s="1765"/>
      <c r="E57" s="1765"/>
      <c r="F57" s="1765"/>
      <c r="G57" s="1765"/>
      <c r="H57" s="1765"/>
      <c r="I57" s="1765"/>
      <c r="J57" s="1765"/>
      <c r="K57" s="1765"/>
    </row>
  </sheetData>
  <sheetProtection password="CAF9" sheet="1" objects="1" scenarios="1"/>
  <customSheetViews>
    <customSheetView guid="{AC653BD0-46E3-42CB-9C76-32121A57B65A}">
      <selection activeCell="J31" sqref="J31"/>
      <pageMargins left="0.25" right="0.25" top="0.5" bottom="0.5" header="0.25" footer="0.25"/>
      <pageSetup paperSize="5" orientation="portrait" r:id="rId1"/>
      <headerFooter alignWithMargins="0"/>
    </customSheetView>
    <customSheetView guid="{B165479B-DC25-403C-9595-F1A88A4AA9A2}">
      <selection activeCell="J31" sqref="J31"/>
      <pageMargins left="0.25" right="0.25" top="0.5" bottom="0.5" header="0.25" footer="0.25"/>
      <pageSetup paperSize="5" orientation="portrait" r:id="rId2"/>
      <headerFooter alignWithMargins="0"/>
    </customSheetView>
    <customSheetView guid="{A64E4C9E-A3DA-4AAA-8607-F524450B9436}">
      <selection activeCell="J31" sqref="J31"/>
      <pageMargins left="0.25" right="0.25" top="0.5" bottom="0.5" header="0.25" footer="0.25"/>
      <pageSetup paperSize="5" orientation="portrait" r:id="rId3"/>
      <headerFooter alignWithMargins="0"/>
    </customSheetView>
    <customSheetView guid="{AB4FBD91-4533-473A-9702-569FF6402073}">
      <selection activeCell="J31" sqref="J31"/>
      <pageMargins left="0.25" right="0.25" top="0.5" bottom="0.5" header="0.25" footer="0.25"/>
      <pageSetup paperSize="5" orientation="portrait" r:id="rId4"/>
      <headerFooter alignWithMargins="0"/>
    </customSheetView>
  </customSheetViews>
  <mergeCells count="6">
    <mergeCell ref="B57:K57"/>
    <mergeCell ref="B3:K3"/>
    <mergeCell ref="B5:K5"/>
    <mergeCell ref="B35:D36"/>
    <mergeCell ref="B40:D41"/>
    <mergeCell ref="E49:I49"/>
  </mergeCells>
  <pageMargins left="0.25" right="0.25" top="0.5" bottom="0.5" header="0.25" footer="0.25"/>
  <pageSetup paperSize="5" orientation="portrait" r:id="rId5"/>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5">
    <tabColor theme="3" tint="0.39997558519241921"/>
  </sheetPr>
  <dimension ref="B1:Z52"/>
  <sheetViews>
    <sheetView zoomScaleNormal="100" zoomScaleSheetLayoutView="80" workbookViewId="0"/>
  </sheetViews>
  <sheetFormatPr defaultColWidth="8.88671875" defaultRowHeight="13.2"/>
  <cols>
    <col min="1" max="5" width="4.6640625" style="398" customWidth="1"/>
    <col min="6" max="8" width="8.88671875" style="398"/>
    <col min="9" max="9" width="6.33203125" style="398" customWidth="1"/>
    <col min="10" max="10" width="8.88671875" style="398"/>
    <col min="11" max="12" width="16.6640625" style="398" customWidth="1"/>
    <col min="13" max="13" width="13.5546875" style="398" bestFit="1" customWidth="1"/>
    <col min="14" max="14" width="11.88671875" style="398" bestFit="1" customWidth="1"/>
    <col min="15" max="16384" width="8.88671875" style="398"/>
  </cols>
  <sheetData>
    <row r="1" spans="2:26">
      <c r="B1" s="1114"/>
      <c r="C1" s="1114"/>
      <c r="D1" s="1114"/>
      <c r="E1" s="1114"/>
      <c r="F1" s="1114"/>
      <c r="G1" s="1114"/>
      <c r="H1" s="1114"/>
      <c r="I1" s="1114"/>
      <c r="J1" s="1114"/>
      <c r="K1" s="1114"/>
      <c r="L1" s="1114"/>
    </row>
    <row r="2" spans="2:26" ht="20.399999999999999">
      <c r="B2" s="1788" t="str">
        <f>"RESULTS  OF  "&amp;TEXT('KEY INPUTS'!D34,"0")&amp;"  OPERATIONS  - "&amp;UPPER('KEY INPUTS'!D53)&amp;" UTILITY"</f>
        <v>RESULTS  OF  2019  OPERATIONS  -  UTILITY</v>
      </c>
      <c r="C2" s="1788"/>
      <c r="D2" s="1788"/>
      <c r="E2" s="1788"/>
      <c r="F2" s="1788"/>
      <c r="G2" s="1788"/>
      <c r="H2" s="1788"/>
      <c r="I2" s="1788"/>
      <c r="J2" s="1788"/>
      <c r="K2" s="1788"/>
      <c r="L2" s="1788"/>
    </row>
    <row r="3" spans="2:26" ht="13.8" thickBot="1">
      <c r="B3" s="1114"/>
      <c r="C3" s="1114"/>
      <c r="D3" s="1114"/>
      <c r="E3" s="1114"/>
      <c r="F3" s="1114"/>
      <c r="G3" s="1114"/>
      <c r="H3" s="1114"/>
      <c r="I3" s="1114"/>
      <c r="J3" s="1114"/>
      <c r="K3" s="1114"/>
      <c r="L3" s="1114"/>
    </row>
    <row r="4" spans="2:26" ht="21" customHeight="1" thickTop="1" thickBot="1">
      <c r="B4" s="1333"/>
      <c r="C4" s="1333"/>
      <c r="D4" s="1333"/>
      <c r="E4" s="1333"/>
      <c r="F4" s="1333"/>
      <c r="G4" s="1333"/>
      <c r="H4" s="1333"/>
      <c r="I4" s="1333"/>
      <c r="J4" s="1333"/>
      <c r="K4" s="1115" t="s">
        <v>125</v>
      </c>
      <c r="L4" s="1116" t="s">
        <v>126</v>
      </c>
    </row>
    <row r="5" spans="2:26" ht="21" customHeight="1" thickTop="1">
      <c r="B5" s="1210" t="s">
        <v>270</v>
      </c>
      <c r="C5" s="1170"/>
      <c r="D5" s="1170"/>
      <c r="E5" s="1170"/>
      <c r="F5" s="1170"/>
      <c r="G5" s="1170"/>
      <c r="H5" s="1170"/>
      <c r="I5" s="1170"/>
      <c r="J5" s="1170"/>
      <c r="K5" s="1202" t="s">
        <v>787</v>
      </c>
      <c r="L5" s="1203">
        <f>IF(+'44-Utility2'!J20&gt;0,+'44-Utility2'!J22,0)</f>
        <v>0</v>
      </c>
      <c r="N5" s="322"/>
      <c r="O5" s="322"/>
      <c r="P5" s="322"/>
      <c r="Q5" s="322"/>
      <c r="R5" s="322"/>
      <c r="S5" s="322"/>
      <c r="T5" s="322"/>
    </row>
    <row r="6" spans="2:26" ht="21" customHeight="1">
      <c r="B6" s="696" t="s">
        <v>271</v>
      </c>
      <c r="C6" s="690"/>
      <c r="D6" s="690"/>
      <c r="E6" s="690"/>
      <c r="F6" s="690"/>
      <c r="G6" s="690"/>
      <c r="H6" s="690"/>
      <c r="I6" s="690"/>
      <c r="J6" s="690"/>
      <c r="K6" s="1204" t="s">
        <v>787</v>
      </c>
      <c r="L6" s="1124">
        <f>+'44-Utility2'!J40</f>
        <v>0</v>
      </c>
      <c r="M6" s="739"/>
      <c r="N6" s="322"/>
      <c r="O6" s="322"/>
      <c r="P6" s="322"/>
      <c r="Q6" s="322"/>
      <c r="R6" s="322"/>
      <c r="S6" s="322"/>
      <c r="T6" s="322"/>
    </row>
    <row r="7" spans="2:26" ht="21" customHeight="1">
      <c r="B7" s="696" t="s">
        <v>272</v>
      </c>
      <c r="C7" s="690"/>
      <c r="D7" s="690"/>
      <c r="E7" s="690"/>
      <c r="F7" s="690"/>
      <c r="G7" s="690"/>
      <c r="H7" s="690"/>
      <c r="I7" s="690"/>
      <c r="J7" s="690"/>
      <c r="K7" s="1204" t="s">
        <v>787</v>
      </c>
      <c r="L7" s="1124">
        <f>'45-Utility2'!J17</f>
        <v>0</v>
      </c>
      <c r="N7" s="377"/>
      <c r="O7" s="322"/>
      <c r="P7" s="322"/>
      <c r="Q7" s="322"/>
      <c r="R7" s="322"/>
      <c r="S7" s="322"/>
      <c r="T7" s="322"/>
    </row>
    <row r="8" spans="2:26" ht="21" customHeight="1">
      <c r="B8" s="1114" t="str">
        <f>"Unexpended Balances of "&amp;TEXT('KEY INPUTS'!D35,"0")&amp;" Appropriations*"</f>
        <v>Unexpended Balances of 2018 Appropriations*</v>
      </c>
      <c r="C8" s="690"/>
      <c r="D8" s="690"/>
      <c r="E8" s="690"/>
      <c r="F8" s="690"/>
      <c r="G8" s="690"/>
      <c r="H8" s="690"/>
      <c r="I8" s="690"/>
      <c r="J8" s="690"/>
      <c r="K8" s="1204" t="s">
        <v>787</v>
      </c>
      <c r="L8" s="1124">
        <f>+'45-Utility2'!K50</f>
        <v>0</v>
      </c>
      <c r="N8" s="322"/>
      <c r="O8" s="322"/>
      <c r="P8" s="322"/>
      <c r="Q8" s="322"/>
      <c r="R8" s="322"/>
      <c r="S8" s="322"/>
      <c r="T8" s="322"/>
    </row>
    <row r="9" spans="2:26" ht="21" customHeight="1">
      <c r="B9" s="705"/>
      <c r="C9" s="648"/>
      <c r="D9" s="648"/>
      <c r="E9" s="648"/>
      <c r="F9" s="648"/>
      <c r="G9" s="648"/>
      <c r="H9" s="648"/>
      <c r="I9" s="690"/>
      <c r="J9" s="690"/>
      <c r="K9" s="658"/>
      <c r="L9" s="609"/>
      <c r="N9" s="322"/>
      <c r="O9" s="322"/>
      <c r="P9" s="322"/>
      <c r="Q9" s="322"/>
      <c r="R9" s="322"/>
      <c r="S9" s="322"/>
      <c r="T9" s="322"/>
    </row>
    <row r="10" spans="2:26" ht="21" customHeight="1">
      <c r="B10" s="1114" t="s">
        <v>3441</v>
      </c>
      <c r="C10" s="1114"/>
      <c r="D10" s="1114"/>
      <c r="E10" s="1114"/>
      <c r="F10" s="1114"/>
      <c r="G10" s="1114"/>
      <c r="H10" s="1114"/>
      <c r="I10" s="1114"/>
      <c r="J10" s="1114"/>
      <c r="K10" s="1198"/>
      <c r="L10" s="1206" t="s">
        <v>787</v>
      </c>
      <c r="M10" s="399">
        <f>+L9+L8+L7+L6+L5-K11-K10-K9</f>
        <v>0</v>
      </c>
      <c r="N10" s="710" t="s">
        <v>3665</v>
      </c>
      <c r="O10" s="322"/>
      <c r="P10" s="322"/>
      <c r="Q10" s="322"/>
      <c r="R10" s="322"/>
      <c r="S10" s="322"/>
      <c r="T10" s="322"/>
      <c r="V10" s="477">
        <f>-'44-Utility2'!U22</f>
        <v>0</v>
      </c>
    </row>
    <row r="11" spans="2:26" ht="21" customHeight="1">
      <c r="B11" s="702"/>
      <c r="C11" s="1199"/>
      <c r="D11" s="648"/>
      <c r="E11" s="648"/>
      <c r="F11" s="648"/>
      <c r="G11" s="648"/>
      <c r="H11" s="648"/>
      <c r="I11" s="690"/>
      <c r="J11" s="690"/>
      <c r="K11" s="601"/>
      <c r="L11" s="1206" t="s">
        <v>787</v>
      </c>
      <c r="N11" s="322"/>
      <c r="O11" s="322"/>
      <c r="P11" s="322"/>
      <c r="Q11" s="322"/>
      <c r="R11" s="322"/>
      <c r="S11" s="322"/>
      <c r="T11" s="322"/>
      <c r="U11" s="322"/>
      <c r="V11" s="322"/>
      <c r="W11" s="322"/>
      <c r="X11" s="322"/>
      <c r="Y11" s="322"/>
      <c r="Z11" s="322"/>
    </row>
    <row r="12" spans="2:26" ht="21" customHeight="1">
      <c r="B12" s="696" t="s">
        <v>273</v>
      </c>
      <c r="C12" s="1172"/>
      <c r="D12" s="690"/>
      <c r="E12" s="690"/>
      <c r="F12" s="690"/>
      <c r="G12" s="690"/>
      <c r="H12" s="690"/>
      <c r="I12" s="690"/>
      <c r="J12" s="690"/>
      <c r="K12" s="1204" t="s">
        <v>787</v>
      </c>
      <c r="L12" s="1205">
        <f>IF(M10&gt;0,0,M10*-1)</f>
        <v>0</v>
      </c>
      <c r="N12" s="322"/>
      <c r="O12" s="322"/>
      <c r="P12" s="322"/>
      <c r="Q12" s="322"/>
      <c r="R12" s="322"/>
      <c r="S12" s="322"/>
      <c r="T12" s="322"/>
      <c r="U12" s="322"/>
      <c r="V12" s="322"/>
      <c r="W12" s="322"/>
      <c r="X12" s="322"/>
      <c r="Y12" s="322"/>
      <c r="Z12" s="322"/>
    </row>
    <row r="13" spans="2:26" ht="21" customHeight="1" thickBot="1">
      <c r="B13" s="696" t="s">
        <v>274</v>
      </c>
      <c r="C13" s="1172"/>
      <c r="D13" s="690"/>
      <c r="E13" s="690"/>
      <c r="F13" s="690"/>
      <c r="G13" s="690"/>
      <c r="H13" s="690"/>
      <c r="I13" s="690"/>
      <c r="J13" s="690"/>
      <c r="K13" s="689">
        <f>IF(M10&gt;0,M10,0)</f>
        <v>0</v>
      </c>
      <c r="L13" s="1207" t="s">
        <v>787</v>
      </c>
      <c r="M13" s="399"/>
      <c r="N13" s="322"/>
      <c r="O13" s="322"/>
      <c r="P13" s="322"/>
      <c r="Q13" s="322"/>
      <c r="R13" s="322"/>
      <c r="S13" s="322"/>
      <c r="T13" s="322"/>
      <c r="U13" s="322"/>
      <c r="V13" s="476">
        <f>U11</f>
        <v>0</v>
      </c>
      <c r="W13" s="322"/>
      <c r="X13" s="322"/>
      <c r="Y13" s="322"/>
      <c r="Z13" s="322"/>
    </row>
    <row r="14" spans="2:26" ht="21" customHeight="1" thickBot="1">
      <c r="B14" s="1209" t="s">
        <v>3440</v>
      </c>
      <c r="C14" s="1114"/>
      <c r="D14" s="1114"/>
      <c r="E14" s="1114"/>
      <c r="F14" s="1114"/>
      <c r="G14" s="1114"/>
      <c r="H14" s="1114"/>
      <c r="I14" s="1114"/>
      <c r="J14" s="1114"/>
      <c r="K14" s="1131">
        <f>SUM(K5:K13)</f>
        <v>0</v>
      </c>
      <c r="L14" s="1132">
        <f>SUM(L5:L13)</f>
        <v>0</v>
      </c>
      <c r="M14" s="399">
        <f>L14-K14</f>
        <v>0</v>
      </c>
      <c r="N14" s="710" t="s">
        <v>3665</v>
      </c>
      <c r="O14" s="322"/>
      <c r="P14" s="322"/>
      <c r="Q14" s="322"/>
      <c r="R14" s="322"/>
      <c r="S14" s="322"/>
      <c r="T14" s="322"/>
      <c r="U14" s="322"/>
      <c r="V14" s="322"/>
      <c r="W14" s="322"/>
      <c r="X14" s="322"/>
      <c r="Y14" s="322"/>
      <c r="Z14" s="322"/>
    </row>
    <row r="15" spans="2:26" ht="18.75" customHeight="1" thickTop="1">
      <c r="N15" s="322"/>
      <c r="O15" s="322"/>
      <c r="P15" s="322"/>
      <c r="Q15" s="322"/>
      <c r="R15" s="322"/>
      <c r="S15" s="322"/>
      <c r="T15" s="322"/>
    </row>
    <row r="16" spans="2:26" ht="18.75" customHeight="1">
      <c r="K16" s="399"/>
      <c r="N16" s="322"/>
      <c r="O16" s="322"/>
      <c r="P16" s="322"/>
      <c r="Q16" s="322"/>
      <c r="R16" s="322"/>
      <c r="S16" s="322"/>
      <c r="T16" s="322"/>
    </row>
    <row r="17" spans="2:20" ht="22.8">
      <c r="B17" s="1759" t="str">
        <f>"OPERATING  SURPLUS  - "&amp;UPPER('KEY INPUTS'!D53)&amp;" UTILITY"</f>
        <v>OPERATING  SURPLUS  -  UTILITY</v>
      </c>
      <c r="C17" s="1759"/>
      <c r="D17" s="1759"/>
      <c r="E17" s="1759"/>
      <c r="F17" s="1759"/>
      <c r="G17" s="1759"/>
      <c r="H17" s="1759"/>
      <c r="I17" s="1759"/>
      <c r="J17" s="1759"/>
      <c r="K17" s="1759"/>
      <c r="L17" s="1759"/>
      <c r="N17" s="322"/>
      <c r="O17" s="322"/>
      <c r="P17" s="322"/>
      <c r="Q17" s="322"/>
      <c r="R17" s="322"/>
      <c r="S17" s="322"/>
      <c r="T17" s="322"/>
    </row>
    <row r="18" spans="2:20" ht="6.75" customHeight="1" thickBot="1">
      <c r="B18" s="1114"/>
      <c r="C18" s="1114"/>
      <c r="D18" s="1114"/>
      <c r="E18" s="1114"/>
      <c r="F18" s="1114"/>
      <c r="G18" s="1114"/>
      <c r="H18" s="1114"/>
      <c r="I18" s="1114"/>
      <c r="J18" s="1114"/>
      <c r="K18" s="1114"/>
      <c r="L18" s="1114"/>
      <c r="N18" s="322"/>
      <c r="O18" s="322"/>
      <c r="P18" s="322"/>
      <c r="Q18" s="322"/>
      <c r="R18" s="322"/>
      <c r="S18" s="322"/>
      <c r="T18" s="322"/>
    </row>
    <row r="19" spans="2:20" ht="25.5" customHeight="1" thickTop="1" thickBot="1">
      <c r="B19" s="1333"/>
      <c r="C19" s="1333"/>
      <c r="D19" s="1333"/>
      <c r="E19" s="1333"/>
      <c r="F19" s="1333"/>
      <c r="G19" s="1333"/>
      <c r="H19" s="1333"/>
      <c r="I19" s="1333"/>
      <c r="J19" s="1333"/>
      <c r="K19" s="1115" t="s">
        <v>125</v>
      </c>
      <c r="L19" s="1116" t="s">
        <v>126</v>
      </c>
      <c r="N19" s="322"/>
      <c r="O19" s="322"/>
      <c r="P19" s="322"/>
      <c r="Q19" s="322"/>
      <c r="R19" s="322"/>
      <c r="S19" s="322"/>
      <c r="T19" s="322"/>
    </row>
    <row r="20" spans="2:20" ht="21" customHeight="1" thickTop="1">
      <c r="B20" s="1211" t="str">
        <f>'KEY INPUTS'!D25</f>
        <v>Balance - January 1, 2019</v>
      </c>
      <c r="C20" s="1170"/>
      <c r="D20" s="1170"/>
      <c r="E20" s="1170"/>
      <c r="F20" s="1170"/>
      <c r="G20" s="1170"/>
      <c r="H20" s="1170"/>
      <c r="I20" s="1170"/>
      <c r="J20" s="1170"/>
      <c r="K20" s="1335" t="s">
        <v>787</v>
      </c>
      <c r="L20" s="924"/>
      <c r="N20" s="322"/>
      <c r="O20" s="322"/>
      <c r="P20" s="322"/>
      <c r="Q20" s="322"/>
      <c r="R20" s="322"/>
      <c r="S20" s="322"/>
      <c r="T20" s="322"/>
    </row>
    <row r="21" spans="2:20" ht="21" customHeight="1">
      <c r="B21" s="1200"/>
      <c r="C21" s="648"/>
      <c r="D21" s="648"/>
      <c r="E21" s="648"/>
      <c r="F21" s="648"/>
      <c r="G21" s="648"/>
      <c r="H21" s="648"/>
      <c r="I21" s="648"/>
      <c r="J21" s="648"/>
      <c r="K21" s="1198"/>
      <c r="L21" s="922"/>
      <c r="N21" s="322"/>
      <c r="O21" s="322"/>
      <c r="P21" s="322"/>
      <c r="Q21" s="322"/>
      <c r="R21" s="322"/>
      <c r="S21" s="322"/>
      <c r="T21" s="322"/>
    </row>
    <row r="22" spans="2:20" ht="21" customHeight="1">
      <c r="B22" s="914" t="str">
        <f>"Excess in Results of "&amp;TEXT('KEY INPUTS'!D34,"0")&amp;" Operations"</f>
        <v>Excess in Results of 2019 Operations</v>
      </c>
      <c r="C22" s="690"/>
      <c r="D22" s="690"/>
      <c r="E22" s="690"/>
      <c r="F22" s="690"/>
      <c r="G22" s="690"/>
      <c r="H22" s="690"/>
      <c r="I22" s="690"/>
      <c r="J22" s="690"/>
      <c r="K22" s="1336" t="s">
        <v>787</v>
      </c>
      <c r="L22" s="1337">
        <f>+K13</f>
        <v>0</v>
      </c>
    </row>
    <row r="23" spans="2:20" ht="21" customHeight="1">
      <c r="B23" s="914" t="str">
        <f>"Amount Appropriated in the "&amp;TEXT('KEY INPUTS'!D34,"0")&amp;" Budget - Cash"</f>
        <v>Amount Appropriated in the 2019 Budget - Cash</v>
      </c>
      <c r="C23" s="690"/>
      <c r="D23" s="690"/>
      <c r="E23" s="690"/>
      <c r="F23" s="690"/>
      <c r="G23" s="690"/>
      <c r="H23" s="690"/>
      <c r="I23" s="690"/>
      <c r="J23" s="690"/>
      <c r="K23" s="1338">
        <f>'44-Utility2'!I7</f>
        <v>0</v>
      </c>
      <c r="L23" s="1339" t="s">
        <v>787</v>
      </c>
    </row>
    <row r="24" spans="2:20" ht="11.25" customHeight="1">
      <c r="B24" s="1189" t="str">
        <f>"Amount Appropriated in "&amp;TEXT('KEY INPUTS'!D34,"0")&amp;" Budget with Prior Written"</f>
        <v>Amount Appropriated in 2019 Budget with Prior Written</v>
      </c>
      <c r="C24" s="1114"/>
      <c r="D24" s="1114"/>
      <c r="E24" s="1114"/>
      <c r="F24" s="1114"/>
      <c r="G24" s="1114"/>
      <c r="H24" s="1114"/>
      <c r="I24" s="1114"/>
      <c r="J24" s="1114"/>
      <c r="K24" s="1925"/>
      <c r="L24" s="1923" t="s">
        <v>787</v>
      </c>
    </row>
    <row r="25" spans="2:20" ht="12.75" customHeight="1">
      <c r="B25" s="1128" t="s">
        <v>1065</v>
      </c>
      <c r="C25" s="1128"/>
      <c r="D25" s="1128"/>
      <c r="E25" s="1128"/>
      <c r="F25" s="1128"/>
      <c r="G25" s="1128"/>
      <c r="H25" s="1128"/>
      <c r="I25" s="1128"/>
      <c r="J25" s="1128"/>
      <c r="K25" s="1926"/>
      <c r="L25" s="1924"/>
    </row>
    <row r="26" spans="2:20" ht="21" customHeight="1">
      <c r="B26" s="1200"/>
      <c r="C26" s="648"/>
      <c r="D26" s="648"/>
      <c r="E26" s="648"/>
      <c r="F26" s="648"/>
      <c r="G26" s="648"/>
      <c r="H26" s="648"/>
      <c r="I26" s="648"/>
      <c r="J26" s="648"/>
      <c r="K26" s="923"/>
      <c r="L26" s="1201"/>
    </row>
    <row r="27" spans="2:20" ht="21" customHeight="1" thickBot="1">
      <c r="B27" s="690" t="str">
        <f>'KEY INPUTS'!D26</f>
        <v>Balance - December 31, 2019</v>
      </c>
      <c r="C27" s="690"/>
      <c r="D27" s="690"/>
      <c r="E27" s="690"/>
      <c r="F27" s="690"/>
      <c r="G27" s="690"/>
      <c r="H27" s="690"/>
      <c r="I27" s="690"/>
      <c r="J27" s="690"/>
      <c r="K27" s="1340">
        <f>+SUM(L20:L26)-SUM(K21:K26)</f>
        <v>0</v>
      </c>
      <c r="L27" s="1341" t="s">
        <v>787</v>
      </c>
      <c r="N27" s="776" t="s">
        <v>3529</v>
      </c>
    </row>
    <row r="28" spans="2:20" ht="21" customHeight="1" thickBot="1">
      <c r="B28" s="1114"/>
      <c r="C28" s="1114"/>
      <c r="D28" s="1114"/>
      <c r="E28" s="1114"/>
      <c r="F28" s="1114"/>
      <c r="G28" s="1114"/>
      <c r="H28" s="1114"/>
      <c r="I28" s="1114"/>
      <c r="J28" s="1114"/>
      <c r="K28" s="1131">
        <f>SUM(K21:K27)</f>
        <v>0</v>
      </c>
      <c r="L28" s="1132">
        <f>SUM(L20:L27)</f>
        <v>0</v>
      </c>
    </row>
    <row r="29" spans="2:20" ht="13.8" thickTop="1"/>
    <row r="32" spans="2:20" ht="17.399999999999999">
      <c r="B32" s="1805" t="str">
        <f>"ANALYSIS  OF  BALANCE  DECEMBER 31, "&amp;TEXT('KEY INPUTS'!D34,"0")&amp;""</f>
        <v>ANALYSIS  OF  BALANCE  DECEMBER 31, 2019</v>
      </c>
      <c r="C32" s="1805"/>
      <c r="D32" s="1805"/>
      <c r="E32" s="1805"/>
      <c r="F32" s="1805"/>
      <c r="G32" s="1805"/>
      <c r="H32" s="1805"/>
      <c r="I32" s="1805"/>
      <c r="J32" s="1805"/>
      <c r="K32" s="1805"/>
      <c r="L32" s="1805"/>
    </row>
    <row r="33" spans="2:14" ht="17.399999999999999">
      <c r="B33" s="1805" t="str">
        <f>"(FROM "&amp;UPPER('KEY INPUTS'!D53)&amp;" UTILITY  -  TRIAL  BALANCE)"</f>
        <v>(FROM  UTILITY  -  TRIAL  BALANCE)</v>
      </c>
      <c r="C33" s="1805"/>
      <c r="D33" s="1805"/>
      <c r="E33" s="1805"/>
      <c r="F33" s="1805"/>
      <c r="G33" s="1805"/>
      <c r="H33" s="1805"/>
      <c r="I33" s="1805"/>
      <c r="J33" s="1805"/>
      <c r="K33" s="1805"/>
      <c r="L33" s="1805"/>
    </row>
    <row r="34" spans="2:14" ht="13.8" thickBot="1">
      <c r="B34" s="1114"/>
      <c r="C34" s="1114"/>
      <c r="D34" s="1114"/>
      <c r="E34" s="1114"/>
      <c r="F34" s="1114"/>
      <c r="G34" s="1114"/>
      <c r="H34" s="1114"/>
      <c r="I34" s="1114"/>
      <c r="J34" s="1114"/>
      <c r="K34" s="1114"/>
      <c r="L34" s="1114"/>
    </row>
    <row r="35" spans="2:14" ht="21" customHeight="1" thickTop="1">
      <c r="B35" s="1170" t="s">
        <v>253</v>
      </c>
      <c r="C35" s="1170"/>
      <c r="D35" s="1170"/>
      <c r="E35" s="1170"/>
      <c r="F35" s="1170"/>
      <c r="G35" s="1170"/>
      <c r="H35" s="1170"/>
      <c r="I35" s="1170"/>
      <c r="J35" s="1170"/>
      <c r="K35" s="1214"/>
      <c r="L35" s="1213">
        <f>+'41-Utility2'!G13</f>
        <v>0</v>
      </c>
    </row>
    <row r="36" spans="2:14" ht="21" customHeight="1">
      <c r="B36" s="690" t="s">
        <v>419</v>
      </c>
      <c r="C36" s="690"/>
      <c r="D36" s="690"/>
      <c r="E36" s="690"/>
      <c r="F36" s="690"/>
      <c r="G36" s="690"/>
      <c r="H36" s="690"/>
      <c r="I36" s="690"/>
      <c r="J36" s="690"/>
      <c r="K36" s="1215"/>
      <c r="L36" s="631"/>
    </row>
    <row r="37" spans="2:14" ht="21" customHeight="1" thickBot="1">
      <c r="B37" s="690" t="s">
        <v>829</v>
      </c>
      <c r="C37" s="690"/>
      <c r="D37" s="690"/>
      <c r="E37" s="690"/>
      <c r="F37" s="690"/>
      <c r="G37" s="690"/>
      <c r="H37" s="690"/>
      <c r="I37" s="690"/>
      <c r="J37" s="690"/>
      <c r="K37" s="1215"/>
      <c r="L37" s="633"/>
    </row>
    <row r="38" spans="2:14" ht="21" customHeight="1" thickTop="1">
      <c r="B38" s="690"/>
      <c r="C38" s="690"/>
      <c r="D38" s="690" t="s">
        <v>421</v>
      </c>
      <c r="E38" s="690"/>
      <c r="F38" s="690"/>
      <c r="G38" s="690"/>
      <c r="H38" s="690"/>
      <c r="I38" s="690"/>
      <c r="J38" s="690"/>
      <c r="K38" s="1215"/>
      <c r="L38" s="1216">
        <f>SUM(L35:L37)</f>
        <v>0</v>
      </c>
    </row>
    <row r="39" spans="2:14" ht="21" customHeight="1" thickBot="1">
      <c r="B39" s="690" t="s">
        <v>470</v>
      </c>
      <c r="C39" s="690"/>
      <c r="D39" s="690"/>
      <c r="E39" s="690"/>
      <c r="F39" s="690"/>
      <c r="G39" s="690"/>
      <c r="H39" s="690"/>
      <c r="I39" s="690"/>
      <c r="J39" s="690"/>
      <c r="K39" s="1215"/>
      <c r="L39" s="1217">
        <f>+'41-Utility2'!H39</f>
        <v>0</v>
      </c>
    </row>
    <row r="40" spans="2:14" ht="21" customHeight="1" thickTop="1">
      <c r="B40" s="690"/>
      <c r="C40" s="690"/>
      <c r="D40" s="690" t="s">
        <v>268</v>
      </c>
      <c r="E40" s="690"/>
      <c r="F40" s="690"/>
      <c r="G40" s="690"/>
      <c r="H40" s="690"/>
      <c r="I40" s="690"/>
      <c r="J40" s="690"/>
      <c r="K40" s="1215"/>
      <c r="L40" s="1216">
        <f>+L38-L39</f>
        <v>0</v>
      </c>
    </row>
    <row r="41" spans="2:14" ht="21" customHeight="1">
      <c r="B41" s="690" t="s">
        <v>477</v>
      </c>
      <c r="C41" s="690"/>
      <c r="D41" s="690"/>
      <c r="E41" s="690"/>
      <c r="F41" s="690"/>
      <c r="G41" s="690"/>
      <c r="H41" s="690"/>
      <c r="I41" s="690"/>
      <c r="J41" s="690"/>
      <c r="K41" s="691"/>
      <c r="L41" s="1120"/>
    </row>
    <row r="42" spans="2:14" ht="22.5" customHeight="1">
      <c r="B42" s="690"/>
      <c r="C42" s="1804" t="s">
        <v>473</v>
      </c>
      <c r="D42" s="1804"/>
      <c r="E42" s="1804"/>
      <c r="F42" s="1804"/>
      <c r="G42" s="1804"/>
      <c r="H42" s="1223"/>
      <c r="I42" s="690"/>
      <c r="J42" s="690"/>
      <c r="K42" s="601"/>
      <c r="L42" s="1120"/>
    </row>
    <row r="43" spans="2:14" ht="21" customHeight="1">
      <c r="B43" s="690"/>
      <c r="C43" s="690" t="s">
        <v>269</v>
      </c>
      <c r="D43" s="690"/>
      <c r="E43" s="690"/>
      <c r="F43" s="690"/>
      <c r="G43" s="690"/>
      <c r="H43" s="690"/>
      <c r="I43" s="690"/>
      <c r="J43" s="690"/>
      <c r="K43" s="601"/>
      <c r="L43" s="1120"/>
      <c r="M43" s="399"/>
      <c r="N43" s="399"/>
    </row>
    <row r="44" spans="2:14" ht="21" customHeight="1" thickBot="1">
      <c r="B44" s="690"/>
      <c r="C44" s="690"/>
      <c r="D44" s="690" t="s">
        <v>475</v>
      </c>
      <c r="E44" s="690"/>
      <c r="F44" s="690"/>
      <c r="G44" s="690"/>
      <c r="H44" s="690"/>
      <c r="I44" s="690"/>
      <c r="J44" s="690"/>
      <c r="K44" s="1219"/>
      <c r="L44" s="1130">
        <f>SUM(K42:K43)</f>
        <v>0</v>
      </c>
    </row>
    <row r="45" spans="2:14" ht="21" customHeight="1" thickBot="1">
      <c r="B45" s="472" t="str">
        <f>"# MAY NOT BE ANTICIPATED AS NON-CASH SURPLUS IN "&amp;TEXT('KEY INPUTS'!D34,"0")&amp;" BUDGET."</f>
        <v># MAY NOT BE ANTICIPATED AS NON-CASH SURPLUS IN 2019 BUDGET.</v>
      </c>
      <c r="K45" s="471"/>
      <c r="L45" s="1218">
        <f>+L40+L44</f>
        <v>0</v>
      </c>
      <c r="M45" s="399"/>
      <c r="N45" s="776" t="s">
        <v>3529</v>
      </c>
    </row>
    <row r="46" spans="2:14" ht="13.8" thickTop="1">
      <c r="B46" s="470" t="s">
        <v>275</v>
      </c>
      <c r="C46" s="470"/>
    </row>
    <row r="47" spans="2:14">
      <c r="B47" s="470"/>
      <c r="C47" s="470" t="s">
        <v>3439</v>
      </c>
    </row>
    <row r="52" spans="2:12" ht="13.8">
      <c r="B52" s="1765" t="s">
        <v>3438</v>
      </c>
      <c r="C52" s="1765"/>
      <c r="D52" s="1765"/>
      <c r="E52" s="1765"/>
      <c r="F52" s="1765"/>
      <c r="G52" s="1765"/>
      <c r="H52" s="1765"/>
      <c r="I52" s="1765"/>
      <c r="J52" s="1765"/>
      <c r="K52" s="1765"/>
      <c r="L52" s="1765"/>
    </row>
  </sheetData>
  <sheetProtection password="CAF9" sheet="1" objects="1" scenarios="1"/>
  <customSheetViews>
    <customSheetView guid="{AC653BD0-46E3-42CB-9C76-32121A57B65A}">
      <pageMargins left="0.25" right="0.25" top="0.5" bottom="0.5" header="0.25" footer="0.25"/>
      <pageSetup paperSize="5" orientation="portrait" r:id="rId1"/>
      <headerFooter alignWithMargins="0"/>
    </customSheetView>
    <customSheetView guid="{B165479B-DC25-403C-9595-F1A88A4AA9A2}">
      <pageMargins left="0.25" right="0.25" top="0.5" bottom="0.5" header="0.25" footer="0.25"/>
      <pageSetup paperSize="5" orientation="portrait" r:id="rId2"/>
      <headerFooter alignWithMargins="0"/>
    </customSheetView>
    <customSheetView guid="{A64E4C9E-A3DA-4AAA-8607-F524450B9436}">
      <pageMargins left="0.25" right="0.25" top="0.5" bottom="0.5" header="0.25" footer="0.25"/>
      <pageSetup paperSize="5" orientation="portrait" r:id="rId3"/>
      <headerFooter alignWithMargins="0"/>
    </customSheetView>
    <customSheetView guid="{AB4FBD91-4533-473A-9702-569FF6402073}">
      <pageMargins left="0.25" right="0.25" top="0.5" bottom="0.5" header="0.25" footer="0.25"/>
      <pageSetup paperSize="5" orientation="portrait" r:id="rId4"/>
      <headerFooter alignWithMargins="0"/>
    </customSheetView>
  </customSheetViews>
  <mergeCells count="8">
    <mergeCell ref="B52:L52"/>
    <mergeCell ref="B2:L2"/>
    <mergeCell ref="B17:L17"/>
    <mergeCell ref="B32:L32"/>
    <mergeCell ref="B33:L33"/>
    <mergeCell ref="C42:G42"/>
    <mergeCell ref="L24:L25"/>
    <mergeCell ref="K24:K25"/>
  </mergeCells>
  <pageMargins left="0.25" right="0.25" top="0.5" bottom="0.5" header="0.25" footer="0.25"/>
  <pageSetup paperSize="5" orientation="portrait" r:id="rId5"/>
  <headerFooter alignWithMargins="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6">
    <tabColor theme="3" tint="0.39997558519241921"/>
  </sheetPr>
  <dimension ref="B3:T69"/>
  <sheetViews>
    <sheetView zoomScaleNormal="100" zoomScaleSheetLayoutView="80" workbookViewId="0">
      <selection activeCell="B1" sqref="B1"/>
    </sheetView>
  </sheetViews>
  <sheetFormatPr defaultColWidth="9.109375" defaultRowHeight="13.2"/>
  <cols>
    <col min="1" max="4" width="4.6640625" style="331" customWidth="1"/>
    <col min="5" max="8" width="9.109375" style="331"/>
    <col min="9" max="9" width="1.6640625" style="331" customWidth="1"/>
    <col min="10" max="10" width="16.6640625" style="331" customWidth="1"/>
    <col min="11" max="11" width="1.6640625" style="331" customWidth="1"/>
    <col min="12" max="12" width="16.6640625" style="331" customWidth="1"/>
    <col min="13" max="16384" width="9.109375" style="331"/>
  </cols>
  <sheetData>
    <row r="3" spans="2:20" ht="17.399999999999999">
      <c r="B3" s="1811" t="str">
        <f>"SCHEDULE  OF "&amp;UPPER('KEY INPUTS'!D53&amp;"  UTILITY  ACCOUNTS  RECEIVABLE")</f>
        <v>SCHEDULE  OF   UTILITY  ACCOUNTS  RECEIVABLE</v>
      </c>
      <c r="C3" s="1811"/>
      <c r="D3" s="1811"/>
      <c r="E3" s="1811"/>
      <c r="F3" s="1811"/>
      <c r="G3" s="1811"/>
      <c r="H3" s="1811"/>
      <c r="I3" s="1811"/>
      <c r="J3" s="1811"/>
      <c r="K3" s="1811"/>
      <c r="L3" s="1811"/>
    </row>
    <row r="6" spans="2:20">
      <c r="B6" s="480" t="str">
        <f>"Balance December 31, "&amp;'KEY INPUTS'!D35</f>
        <v>Balance December 31, 2018</v>
      </c>
      <c r="J6" s="287"/>
      <c r="K6" s="331" t="s">
        <v>482</v>
      </c>
      <c r="L6" s="580"/>
      <c r="N6" s="322"/>
      <c r="O6" s="322"/>
      <c r="P6" s="322"/>
      <c r="Q6" s="322"/>
      <c r="R6" s="322"/>
      <c r="S6" s="322"/>
      <c r="T6" s="322"/>
    </row>
    <row r="7" spans="2:20">
      <c r="J7" s="287"/>
      <c r="K7" s="287"/>
      <c r="L7" s="287"/>
      <c r="N7" s="322"/>
      <c r="O7" s="322"/>
      <c r="P7" s="322"/>
      <c r="Q7" s="322"/>
      <c r="R7" s="322"/>
      <c r="S7" s="322"/>
      <c r="T7" s="322"/>
    </row>
    <row r="8" spans="2:20">
      <c r="J8" s="287"/>
      <c r="K8" s="287"/>
      <c r="L8" s="287"/>
      <c r="N8" s="377"/>
      <c r="O8" s="322"/>
      <c r="P8" s="322"/>
      <c r="Q8" s="322"/>
      <c r="R8" s="322"/>
      <c r="S8" s="322"/>
      <c r="T8" s="322"/>
    </row>
    <row r="9" spans="2:20">
      <c r="J9" s="287"/>
      <c r="K9" s="287"/>
      <c r="L9" s="287"/>
      <c r="N9" s="322"/>
      <c r="O9" s="322"/>
      <c r="P9" s="322"/>
      <c r="Q9" s="322"/>
      <c r="R9" s="322"/>
      <c r="S9" s="322"/>
      <c r="T9" s="322"/>
    </row>
    <row r="10" spans="2:20">
      <c r="B10" s="331" t="s">
        <v>276</v>
      </c>
      <c r="J10" s="287"/>
      <c r="K10" s="287"/>
      <c r="L10" s="287"/>
      <c r="N10" s="322"/>
      <c r="O10" s="322"/>
      <c r="P10" s="322"/>
      <c r="Q10" s="322"/>
      <c r="R10" s="322"/>
      <c r="S10" s="322"/>
      <c r="T10" s="322"/>
    </row>
    <row r="11" spans="2:20">
      <c r="D11" s="1192" t="s">
        <v>3780</v>
      </c>
      <c r="E11" s="1192"/>
      <c r="F11" s="1114"/>
      <c r="G11" s="775"/>
      <c r="J11" s="287"/>
      <c r="K11" s="331" t="s">
        <v>482</v>
      </c>
      <c r="L11" s="580"/>
      <c r="N11" s="322"/>
      <c r="O11" s="322"/>
      <c r="P11" s="322"/>
      <c r="Q11" s="322"/>
      <c r="R11" s="322"/>
      <c r="S11" s="322"/>
      <c r="T11" s="322"/>
    </row>
    <row r="12" spans="2:20">
      <c r="J12" s="287"/>
      <c r="K12" s="287"/>
      <c r="L12" s="287"/>
      <c r="N12" s="322"/>
      <c r="O12" s="322"/>
      <c r="P12" s="322"/>
      <c r="Q12" s="322"/>
      <c r="R12" s="322"/>
      <c r="S12" s="322"/>
      <c r="T12" s="322"/>
    </row>
    <row r="13" spans="2:20">
      <c r="J13" s="287"/>
      <c r="K13" s="287"/>
      <c r="L13" s="287"/>
      <c r="N13" s="322"/>
      <c r="O13" s="322"/>
      <c r="P13" s="322"/>
      <c r="Q13" s="322"/>
      <c r="R13" s="322"/>
      <c r="S13" s="322"/>
      <c r="T13" s="322"/>
    </row>
    <row r="14" spans="2:20">
      <c r="J14" s="287"/>
      <c r="K14" s="287"/>
      <c r="L14" s="287"/>
      <c r="N14" s="322"/>
      <c r="O14" s="322"/>
      <c r="P14" s="322"/>
      <c r="Q14" s="322"/>
      <c r="R14" s="322"/>
      <c r="S14" s="322"/>
      <c r="T14" s="322"/>
    </row>
    <row r="15" spans="2:20">
      <c r="B15" s="331" t="s">
        <v>277</v>
      </c>
      <c r="J15" s="287"/>
      <c r="K15" s="287"/>
      <c r="L15" s="287"/>
      <c r="N15" s="322"/>
      <c r="O15" s="322"/>
      <c r="P15" s="322"/>
      <c r="Q15" s="322"/>
      <c r="R15" s="322"/>
      <c r="S15" s="322"/>
      <c r="T15" s="322"/>
    </row>
    <row r="16" spans="2:20" ht="21" customHeight="1">
      <c r="D16" s="331" t="s">
        <v>278</v>
      </c>
      <c r="I16" s="331" t="s">
        <v>482</v>
      </c>
      <c r="J16" s="580"/>
      <c r="K16" s="287"/>
      <c r="L16" s="287"/>
      <c r="N16" s="322"/>
      <c r="O16" s="322"/>
      <c r="P16" s="322"/>
      <c r="Q16" s="322"/>
      <c r="R16" s="322"/>
      <c r="S16" s="322"/>
      <c r="T16" s="322"/>
    </row>
    <row r="17" spans="2:20" ht="21" customHeight="1">
      <c r="D17" s="331" t="s">
        <v>279</v>
      </c>
      <c r="I17" s="331" t="s">
        <v>482</v>
      </c>
      <c r="J17" s="580"/>
      <c r="K17" s="287"/>
      <c r="L17" s="287"/>
      <c r="N17" s="322"/>
      <c r="O17" s="322"/>
      <c r="P17" s="322"/>
      <c r="Q17" s="322"/>
      <c r="R17" s="322"/>
      <c r="S17" s="322"/>
      <c r="T17" s="322"/>
    </row>
    <row r="18" spans="2:20" ht="21" customHeight="1">
      <c r="D18" s="1114" t="s">
        <v>3784</v>
      </c>
      <c r="E18" s="1114"/>
      <c r="F18" s="1192"/>
      <c r="G18" s="1192"/>
      <c r="I18" s="331" t="s">
        <v>482</v>
      </c>
      <c r="J18" s="580"/>
      <c r="K18" s="287"/>
      <c r="L18" s="287"/>
      <c r="N18" s="322"/>
      <c r="O18" s="322"/>
      <c r="P18" s="322"/>
      <c r="Q18" s="322"/>
      <c r="R18" s="322"/>
      <c r="S18" s="322"/>
      <c r="T18" s="322"/>
    </row>
    <row r="19" spans="2:20" ht="21" customHeight="1">
      <c r="D19" s="331" t="s">
        <v>280</v>
      </c>
      <c r="I19" s="331" t="s">
        <v>482</v>
      </c>
      <c r="J19" s="580"/>
      <c r="K19" s="287"/>
      <c r="L19" s="287"/>
      <c r="N19" s="322"/>
      <c r="O19" s="322"/>
      <c r="P19" s="322"/>
      <c r="Q19" s="322"/>
      <c r="R19" s="322"/>
      <c r="S19" s="322"/>
      <c r="T19" s="322"/>
    </row>
    <row r="20" spans="2:20">
      <c r="J20" s="287"/>
      <c r="K20" s="287"/>
      <c r="L20" s="287"/>
      <c r="N20" s="322"/>
      <c r="O20" s="322"/>
      <c r="P20" s="322"/>
      <c r="Q20" s="322"/>
      <c r="R20" s="322"/>
      <c r="S20" s="322"/>
      <c r="T20" s="322"/>
    </row>
    <row r="21" spans="2:20">
      <c r="J21" s="287"/>
      <c r="K21" s="331" t="s">
        <v>482</v>
      </c>
      <c r="L21" s="67">
        <f>SUM(J16:J19)</f>
        <v>0</v>
      </c>
      <c r="N21" s="322"/>
      <c r="O21" s="322"/>
      <c r="P21" s="322"/>
      <c r="Q21" s="322"/>
      <c r="R21" s="322"/>
      <c r="S21" s="322"/>
      <c r="T21" s="322"/>
    </row>
    <row r="22" spans="2:20">
      <c r="J22" s="287"/>
      <c r="K22" s="287"/>
      <c r="L22" s="287"/>
      <c r="N22" s="322"/>
      <c r="O22" s="322"/>
      <c r="P22" s="322"/>
      <c r="Q22" s="322"/>
      <c r="R22" s="322"/>
      <c r="S22" s="322"/>
      <c r="T22" s="322"/>
    </row>
    <row r="23" spans="2:20">
      <c r="J23" s="287"/>
      <c r="K23" s="287"/>
      <c r="L23" s="287"/>
    </row>
    <row r="24" spans="2:20" ht="13.8" thickBot="1">
      <c r="B24" s="478" t="str">
        <f>"Balance December 31, "&amp;'KEY INPUTS'!D34</f>
        <v>Balance December 31, 2019</v>
      </c>
      <c r="J24" s="287"/>
      <c r="K24" s="331" t="s">
        <v>482</v>
      </c>
      <c r="L24" s="84">
        <f>+L6+L11-L21</f>
        <v>0</v>
      </c>
    </row>
    <row r="25" spans="2:20" ht="13.8" thickTop="1"/>
    <row r="28" spans="2:20">
      <c r="B28" s="479"/>
      <c r="C28" s="479"/>
      <c r="D28" s="479"/>
      <c r="E28" s="479"/>
      <c r="F28" s="479"/>
      <c r="G28" s="479"/>
      <c r="H28" s="479"/>
      <c r="I28" s="479"/>
      <c r="J28" s="479"/>
      <c r="K28" s="479"/>
      <c r="L28" s="479"/>
    </row>
    <row r="29" spans="2:20" ht="4.5" customHeight="1">
      <c r="B29" s="479"/>
      <c r="C29" s="479"/>
      <c r="D29" s="479"/>
      <c r="E29" s="479"/>
      <c r="F29" s="479"/>
      <c r="G29" s="479"/>
      <c r="H29" s="479"/>
      <c r="I29" s="479"/>
      <c r="J29" s="479"/>
      <c r="K29" s="479"/>
      <c r="L29" s="479"/>
    </row>
    <row r="33" spans="2:12" ht="17.399999999999999">
      <c r="B33" s="1805" t="str">
        <f>"SCHEDULE  OF "&amp;UPPER('KEY INPUTS'!D53)&amp;" UTILITY  LIENS"</f>
        <v>SCHEDULE  OF  UTILITY  LIENS</v>
      </c>
      <c r="C33" s="1805"/>
      <c r="D33" s="1805"/>
      <c r="E33" s="1805"/>
      <c r="F33" s="1805"/>
      <c r="G33" s="1805"/>
      <c r="H33" s="1805"/>
      <c r="I33" s="1805"/>
      <c r="J33" s="1805"/>
      <c r="K33" s="1805"/>
      <c r="L33" s="1805"/>
    </row>
    <row r="36" spans="2:12">
      <c r="B36" s="478" t="str">
        <f>"Balance December 31, "&amp;'KEY INPUTS'!D35</f>
        <v>Balance December 31, 2018</v>
      </c>
      <c r="I36" s="287"/>
      <c r="J36" s="287"/>
      <c r="K36" s="287" t="s">
        <v>482</v>
      </c>
      <c r="L36" s="580"/>
    </row>
    <row r="37" spans="2:12">
      <c r="I37" s="287"/>
      <c r="J37" s="287"/>
      <c r="K37" s="287"/>
      <c r="L37" s="287"/>
    </row>
    <row r="38" spans="2:12">
      <c r="I38" s="287"/>
      <c r="J38" s="287"/>
      <c r="K38" s="287"/>
      <c r="L38" s="287"/>
    </row>
    <row r="39" spans="2:12">
      <c r="I39" s="287"/>
      <c r="J39" s="287"/>
      <c r="K39" s="287"/>
      <c r="L39" s="287"/>
    </row>
    <row r="40" spans="2:12">
      <c r="B40" s="331" t="s">
        <v>276</v>
      </c>
      <c r="I40" s="287"/>
      <c r="J40" s="287"/>
      <c r="K40" s="287"/>
      <c r="L40" s="287"/>
    </row>
    <row r="41" spans="2:12" ht="21" customHeight="1">
      <c r="D41" s="331" t="s">
        <v>281</v>
      </c>
      <c r="I41" s="331" t="s">
        <v>482</v>
      </c>
      <c r="J41" s="580"/>
      <c r="K41" s="287"/>
      <c r="L41" s="287"/>
    </row>
    <row r="42" spans="2:12" ht="21" customHeight="1">
      <c r="D42" s="331" t="s">
        <v>282</v>
      </c>
      <c r="I42" s="331" t="s">
        <v>482</v>
      </c>
      <c r="J42" s="580"/>
      <c r="K42" s="287"/>
      <c r="L42" s="287"/>
    </row>
    <row r="43" spans="2:12" ht="21" customHeight="1">
      <c r="D43" s="331" t="s">
        <v>280</v>
      </c>
      <c r="I43" s="331" t="s">
        <v>482</v>
      </c>
      <c r="J43" s="580"/>
      <c r="K43" s="125"/>
      <c r="L43" s="125"/>
    </row>
    <row r="44" spans="2:12">
      <c r="I44" s="287"/>
      <c r="J44" s="287"/>
      <c r="K44" s="287"/>
      <c r="L44" s="287"/>
    </row>
    <row r="45" spans="2:12">
      <c r="I45" s="287"/>
      <c r="J45" s="287"/>
      <c r="K45" s="331" t="s">
        <v>482</v>
      </c>
      <c r="L45" s="67">
        <f>SUM(J41:J43)</f>
        <v>0</v>
      </c>
    </row>
    <row r="46" spans="2:12">
      <c r="I46" s="287"/>
      <c r="J46" s="287"/>
      <c r="K46" s="287"/>
      <c r="L46" s="287"/>
    </row>
    <row r="47" spans="2:12">
      <c r="B47" s="331" t="s">
        <v>277</v>
      </c>
      <c r="I47" s="287"/>
      <c r="J47" s="287"/>
      <c r="K47" s="287"/>
      <c r="L47" s="287"/>
    </row>
    <row r="48" spans="2:12" ht="21" customHeight="1">
      <c r="D48" s="331" t="s">
        <v>278</v>
      </c>
      <c r="I48" s="331" t="s">
        <v>482</v>
      </c>
      <c r="J48" s="580"/>
      <c r="K48" s="287"/>
      <c r="L48" s="287"/>
    </row>
    <row r="49" spans="2:12" ht="21" customHeight="1">
      <c r="D49" s="331" t="s">
        <v>280</v>
      </c>
      <c r="I49" s="331" t="s">
        <v>482</v>
      </c>
      <c r="J49" s="580"/>
      <c r="K49" s="287"/>
      <c r="L49" s="287"/>
    </row>
    <row r="50" spans="2:12">
      <c r="I50" s="287"/>
      <c r="J50" s="287"/>
      <c r="K50" s="287"/>
      <c r="L50" s="287"/>
    </row>
    <row r="51" spans="2:12">
      <c r="I51" s="287"/>
      <c r="J51" s="287"/>
      <c r="K51" s="331" t="s">
        <v>482</v>
      </c>
      <c r="L51" s="67">
        <f>+J49+J48</f>
        <v>0</v>
      </c>
    </row>
    <row r="52" spans="2:12">
      <c r="I52" s="287"/>
      <c r="J52" s="287"/>
      <c r="K52" s="287"/>
      <c r="L52" s="287"/>
    </row>
    <row r="53" spans="2:12">
      <c r="I53" s="287"/>
      <c r="J53" s="287"/>
      <c r="K53" s="287"/>
      <c r="L53" s="287"/>
    </row>
    <row r="54" spans="2:12" ht="13.8" thickBot="1">
      <c r="B54" s="478" t="str">
        <f>"Balance December 31, "&amp;'KEY INPUTS'!D34</f>
        <v>Balance December 31, 2019</v>
      </c>
      <c r="I54" s="287"/>
      <c r="J54" s="287"/>
      <c r="K54" s="331" t="s">
        <v>482</v>
      </c>
      <c r="L54" s="84">
        <f>+L36+L45-L51</f>
        <v>0</v>
      </c>
    </row>
    <row r="55" spans="2:12" ht="13.8" thickTop="1">
      <c r="I55" s="287"/>
      <c r="J55" s="287"/>
      <c r="K55" s="287"/>
      <c r="L55" s="287"/>
    </row>
    <row r="69" spans="2:12" ht="13.8">
      <c r="B69" s="1812" t="s">
        <v>3442</v>
      </c>
      <c r="C69" s="1812"/>
      <c r="D69" s="1812"/>
      <c r="E69" s="1812"/>
      <c r="F69" s="1812"/>
      <c r="G69" s="1812"/>
      <c r="H69" s="1812"/>
      <c r="I69" s="1812"/>
      <c r="J69" s="1812"/>
      <c r="K69" s="1812"/>
      <c r="L69" s="1812"/>
    </row>
  </sheetData>
  <sheetProtection algorithmName="SHA-512" hashValue="Lr41UFh0gCT9j5/tJDXmtOMtYYF8f92KKl/PB7uM9KFPsAnQWBvrB22jNe6bAacsnbIjdzVUDUBrvJptoqaHMw==" saltValue="nzYyoMsRI0nvVFK5W22kYg=="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
    <mergeCell ref="B3:L3"/>
    <mergeCell ref="B33:L33"/>
    <mergeCell ref="B69:L69"/>
  </mergeCells>
  <pageMargins left="0.25" right="0.25" top="0.5" bottom="0.5" header="0.25" footer="0.25"/>
  <pageSetup paperSize="5" orientation="portrait" r:id="rId5"/>
  <headerFooter alignWithMargins="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7">
    <tabColor theme="3" tint="0.39997558519241921"/>
  </sheetPr>
  <dimension ref="B1:W69"/>
  <sheetViews>
    <sheetView zoomScaleNormal="100" zoomScaleSheetLayoutView="80" workbookViewId="0">
      <selection activeCell="B1" sqref="B1"/>
    </sheetView>
  </sheetViews>
  <sheetFormatPr defaultColWidth="9.109375" defaultRowHeight="13.2"/>
  <cols>
    <col min="1" max="4" width="4.6640625" style="331" customWidth="1"/>
    <col min="5" max="6" width="9.109375" style="331"/>
    <col min="7" max="7" width="1.6640625" style="331" customWidth="1"/>
    <col min="8" max="8" width="14.6640625" style="331" customWidth="1"/>
    <col min="9" max="9" width="1.6640625" style="331" customWidth="1"/>
    <col min="10" max="10" width="14.6640625" style="331" customWidth="1"/>
    <col min="11" max="11" width="1.6640625" style="331" customWidth="1"/>
    <col min="12" max="12" width="14.6640625" style="331" customWidth="1"/>
    <col min="13" max="13" width="1.6640625" style="331" customWidth="1"/>
    <col min="14" max="14" width="14.6640625" style="331" customWidth="1"/>
    <col min="15" max="16384" width="9.109375" style="331"/>
  </cols>
  <sheetData>
    <row r="1" spans="2:23">
      <c r="B1" s="1146"/>
      <c r="C1" s="1146"/>
      <c r="D1" s="1146"/>
      <c r="E1" s="1146"/>
      <c r="F1" s="1146"/>
      <c r="G1" s="1146"/>
      <c r="H1" s="1146"/>
      <c r="I1" s="1146"/>
      <c r="J1" s="1146"/>
      <c r="K1" s="1146"/>
      <c r="L1" s="1146"/>
      <c r="M1" s="1146"/>
      <c r="N1" s="1146"/>
    </row>
    <row r="2" spans="2:23">
      <c r="B2" s="1146"/>
      <c r="C2" s="1146"/>
      <c r="D2" s="1146"/>
      <c r="E2" s="1146"/>
      <c r="F2" s="1146"/>
      <c r="G2" s="1146"/>
      <c r="H2" s="1146"/>
      <c r="I2" s="1146"/>
      <c r="J2" s="1146"/>
      <c r="K2" s="1146"/>
      <c r="L2" s="1146"/>
      <c r="M2" s="1146"/>
      <c r="N2" s="1146"/>
    </row>
    <row r="3" spans="2:23" ht="20.399999999999999">
      <c r="B3" s="1870" t="s">
        <v>1129</v>
      </c>
      <c r="C3" s="1870"/>
      <c r="D3" s="1870"/>
      <c r="E3" s="1870"/>
      <c r="F3" s="1870"/>
      <c r="G3" s="1870"/>
      <c r="H3" s="1870"/>
      <c r="I3" s="1870"/>
      <c r="J3" s="1870"/>
      <c r="K3" s="1870"/>
      <c r="L3" s="1870"/>
      <c r="M3" s="1870"/>
      <c r="N3" s="1870"/>
    </row>
    <row r="4" spans="2:23" ht="15.6">
      <c r="B4" s="1928" t="s">
        <v>540</v>
      </c>
      <c r="C4" s="1928"/>
      <c r="D4" s="1928"/>
      <c r="E4" s="1928"/>
      <c r="F4" s="1928"/>
      <c r="G4" s="1928"/>
      <c r="H4" s="1928"/>
      <c r="I4" s="1928"/>
      <c r="J4" s="1928"/>
      <c r="K4" s="1928"/>
      <c r="L4" s="1928"/>
      <c r="M4" s="1928"/>
      <c r="N4" s="1928"/>
    </row>
    <row r="5" spans="2:23" ht="20.399999999999999">
      <c r="B5" s="1788" t="str">
        <f>UPPER('KEY INPUTS'!D53)&amp;" UTILITY  FUND"</f>
        <v xml:space="preserve"> UTILITY  FUND</v>
      </c>
      <c r="C5" s="1788"/>
      <c r="D5" s="1788"/>
      <c r="E5" s="1788"/>
      <c r="F5" s="1788"/>
      <c r="G5" s="1788"/>
      <c r="H5" s="1788"/>
      <c r="I5" s="1788"/>
      <c r="J5" s="1788"/>
      <c r="K5" s="1788"/>
      <c r="L5" s="1788"/>
      <c r="M5" s="1788"/>
      <c r="N5" s="1788"/>
    </row>
    <row r="6" spans="2:23">
      <c r="B6" s="1929" t="s">
        <v>283</v>
      </c>
      <c r="C6" s="1929"/>
      <c r="D6" s="1929"/>
      <c r="E6" s="1929"/>
      <c r="F6" s="1929"/>
      <c r="G6" s="1929"/>
      <c r="H6" s="1929"/>
      <c r="I6" s="1929"/>
      <c r="J6" s="1929"/>
      <c r="K6" s="1929"/>
      <c r="L6" s="1929"/>
      <c r="M6" s="1929"/>
      <c r="N6" s="1929"/>
    </row>
    <row r="7" spans="2:23">
      <c r="B7" s="1146"/>
      <c r="C7" s="1146"/>
      <c r="D7" s="1146"/>
      <c r="E7" s="1146"/>
      <c r="F7" s="1146"/>
      <c r="G7" s="1146"/>
      <c r="H7" s="1146"/>
      <c r="I7" s="1146"/>
      <c r="J7" s="1146"/>
      <c r="K7" s="1146"/>
      <c r="L7" s="1146"/>
      <c r="M7" s="1146"/>
      <c r="N7" s="1146"/>
    </row>
    <row r="8" spans="2:23">
      <c r="B8" s="1146"/>
      <c r="C8" s="1146"/>
      <c r="D8" s="1146"/>
      <c r="E8" s="1146"/>
      <c r="F8" s="1146"/>
      <c r="G8" s="1146"/>
      <c r="H8" s="1141" t="s">
        <v>533</v>
      </c>
      <c r="I8" s="1146"/>
      <c r="J8" s="1146"/>
      <c r="K8" s="1146"/>
      <c r="L8" s="1146"/>
      <c r="M8" s="1146"/>
      <c r="N8" s="1146"/>
    </row>
    <row r="9" spans="2:23">
      <c r="B9" s="1146"/>
      <c r="C9" s="1930" t="s">
        <v>553</v>
      </c>
      <c r="D9" s="1930"/>
      <c r="E9" s="1930"/>
      <c r="F9" s="1146"/>
      <c r="G9" s="1146"/>
      <c r="H9" s="1344" t="str">
        <f>'KEY INPUTS'!D45</f>
        <v>Dec. 31, 2018</v>
      </c>
      <c r="I9" s="1146"/>
      <c r="J9" s="1141" t="s">
        <v>554</v>
      </c>
      <c r="K9" s="1146"/>
      <c r="L9" s="1141" t="s">
        <v>533</v>
      </c>
      <c r="M9" s="1146"/>
      <c r="N9" s="1141" t="s">
        <v>671</v>
      </c>
    </row>
    <row r="10" spans="2:23">
      <c r="B10" s="1146"/>
      <c r="C10" s="1146"/>
      <c r="D10" s="1146"/>
      <c r="E10" s="1146"/>
      <c r="F10" s="1146"/>
      <c r="G10" s="1146"/>
      <c r="H10" s="1141" t="s">
        <v>552</v>
      </c>
      <c r="I10" s="1146"/>
      <c r="J10" s="1141">
        <f>'KEY INPUTS'!D34</f>
        <v>2019</v>
      </c>
      <c r="K10" s="1146"/>
      <c r="L10" s="1141" t="s">
        <v>555</v>
      </c>
      <c r="M10" s="1146"/>
      <c r="N10" s="1141" t="s">
        <v>556</v>
      </c>
    </row>
    <row r="11" spans="2:23">
      <c r="B11" s="1146"/>
      <c r="C11" s="1146"/>
      <c r="D11" s="1146"/>
      <c r="E11" s="1146"/>
      <c r="F11" s="1146"/>
      <c r="G11" s="1146"/>
      <c r="H11" s="1345" t="s">
        <v>551</v>
      </c>
      <c r="I11" s="1146"/>
      <c r="J11" s="1345" t="s">
        <v>676</v>
      </c>
      <c r="K11" s="1146"/>
      <c r="L11" s="1345">
        <f>'KEY INPUTS'!D34</f>
        <v>2019</v>
      </c>
      <c r="M11" s="1146"/>
      <c r="N11" s="1346" t="str">
        <f>'KEY INPUTS'!D46</f>
        <v>Dec. 31, 2019</v>
      </c>
      <c r="Q11" s="322"/>
      <c r="R11" s="322"/>
      <c r="S11" s="322"/>
      <c r="T11" s="322"/>
      <c r="U11" s="322"/>
      <c r="V11" s="322"/>
      <c r="W11" s="322"/>
    </row>
    <row r="12" spans="2:23">
      <c r="B12" s="1347" t="s">
        <v>384</v>
      </c>
      <c r="C12" s="1146" t="s">
        <v>1130</v>
      </c>
      <c r="D12" s="1146"/>
      <c r="E12" s="1146"/>
      <c r="F12" s="1146"/>
      <c r="G12" s="1146"/>
      <c r="H12" s="1146"/>
      <c r="I12" s="1146"/>
      <c r="J12" s="1146"/>
      <c r="K12" s="1146"/>
      <c r="L12" s="1146"/>
      <c r="M12" s="1146"/>
      <c r="N12" s="1146"/>
      <c r="Q12" s="322"/>
      <c r="R12" s="322"/>
      <c r="S12" s="322"/>
      <c r="T12" s="322"/>
      <c r="U12" s="322"/>
      <c r="V12" s="322"/>
      <c r="W12" s="322"/>
    </row>
    <row r="13" spans="2:23">
      <c r="B13" s="481"/>
      <c r="D13" s="331" t="s">
        <v>1131</v>
      </c>
      <c r="G13" s="331" t="s">
        <v>482</v>
      </c>
      <c r="H13" s="580"/>
      <c r="I13" s="331" t="s">
        <v>482</v>
      </c>
      <c r="J13" s="580"/>
      <c r="K13" s="331" t="s">
        <v>482</v>
      </c>
      <c r="L13" s="580"/>
      <c r="M13" s="331" t="s">
        <v>482</v>
      </c>
      <c r="N13" s="670">
        <f>+H13-J13+L13</f>
        <v>0</v>
      </c>
      <c r="Q13" s="377"/>
      <c r="R13" s="322"/>
      <c r="S13" s="322"/>
      <c r="T13" s="322"/>
      <c r="U13" s="322"/>
      <c r="V13" s="322"/>
      <c r="W13" s="322"/>
    </row>
    <row r="14" spans="2:23">
      <c r="B14" s="481"/>
      <c r="H14" s="287"/>
      <c r="J14" s="287"/>
      <c r="L14" s="287"/>
      <c r="Q14" s="322"/>
      <c r="R14" s="322"/>
      <c r="S14" s="322"/>
      <c r="T14" s="322"/>
      <c r="U14" s="322"/>
      <c r="V14" s="322"/>
      <c r="W14" s="322"/>
    </row>
    <row r="15" spans="2:23" ht="21" customHeight="1">
      <c r="B15" s="481" t="s">
        <v>385</v>
      </c>
      <c r="C15" s="669" t="s">
        <v>3406</v>
      </c>
      <c r="D15" s="668"/>
      <c r="E15" s="668"/>
      <c r="F15" s="668"/>
      <c r="G15" s="331" t="s">
        <v>482</v>
      </c>
      <c r="H15" s="580"/>
      <c r="I15" s="331" t="s">
        <v>482</v>
      </c>
      <c r="J15" s="580"/>
      <c r="K15" s="331" t="s">
        <v>482</v>
      </c>
      <c r="L15" s="580"/>
      <c r="M15" s="331" t="s">
        <v>482</v>
      </c>
      <c r="N15" s="1224">
        <f>+H15-J15+L15</f>
        <v>0</v>
      </c>
      <c r="Q15" s="322"/>
      <c r="R15" s="322"/>
      <c r="S15" s="322"/>
      <c r="T15" s="322"/>
      <c r="U15" s="322"/>
      <c r="V15" s="322"/>
      <c r="W15" s="322"/>
    </row>
    <row r="16" spans="2:23" ht="21" customHeight="1">
      <c r="B16" s="481" t="s">
        <v>386</v>
      </c>
      <c r="C16" s="668"/>
      <c r="D16" s="668"/>
      <c r="E16" s="668"/>
      <c r="F16" s="668"/>
      <c r="G16" s="331" t="s">
        <v>482</v>
      </c>
      <c r="H16" s="580"/>
      <c r="I16" s="331" t="s">
        <v>482</v>
      </c>
      <c r="J16" s="580"/>
      <c r="K16" s="331" t="s">
        <v>482</v>
      </c>
      <c r="L16" s="580"/>
      <c r="M16" s="331" t="s">
        <v>482</v>
      </c>
      <c r="N16" s="1224">
        <f>+H16-J16+L16</f>
        <v>0</v>
      </c>
      <c r="Q16" s="322"/>
      <c r="R16" s="322"/>
      <c r="S16" s="322"/>
      <c r="T16" s="322"/>
      <c r="U16" s="322"/>
      <c r="V16" s="322"/>
      <c r="W16" s="322"/>
    </row>
    <row r="17" spans="2:23" ht="21" customHeight="1">
      <c r="B17" s="481" t="s">
        <v>387</v>
      </c>
      <c r="C17" s="668"/>
      <c r="D17" s="668"/>
      <c r="E17" s="668"/>
      <c r="F17" s="668"/>
      <c r="G17" s="331" t="s">
        <v>482</v>
      </c>
      <c r="H17" s="580"/>
      <c r="I17" s="331" t="s">
        <v>482</v>
      </c>
      <c r="J17" s="580"/>
      <c r="K17" s="331" t="s">
        <v>482</v>
      </c>
      <c r="L17" s="580"/>
      <c r="M17" s="331" t="s">
        <v>482</v>
      </c>
      <c r="N17" s="1224">
        <f t="shared" ref="N17:N23" si="0">+H17-J17+L17</f>
        <v>0</v>
      </c>
      <c r="Q17" s="322"/>
      <c r="R17" s="322"/>
      <c r="S17" s="322"/>
      <c r="T17" s="322"/>
      <c r="U17" s="322"/>
      <c r="V17" s="322"/>
      <c r="W17" s="322"/>
    </row>
    <row r="18" spans="2:23" ht="21" customHeight="1">
      <c r="B18" s="481" t="s">
        <v>388</v>
      </c>
      <c r="C18" s="668"/>
      <c r="D18" s="668"/>
      <c r="E18" s="668"/>
      <c r="F18" s="668"/>
      <c r="G18" s="331" t="s">
        <v>482</v>
      </c>
      <c r="H18" s="580"/>
      <c r="I18" s="331" t="s">
        <v>482</v>
      </c>
      <c r="J18" s="580"/>
      <c r="K18" s="331" t="s">
        <v>482</v>
      </c>
      <c r="L18" s="580"/>
      <c r="M18" s="331" t="s">
        <v>482</v>
      </c>
      <c r="N18" s="1224">
        <f t="shared" si="0"/>
        <v>0</v>
      </c>
      <c r="Q18" s="322"/>
      <c r="R18" s="322"/>
      <c r="S18" s="322"/>
      <c r="T18" s="322"/>
      <c r="U18" s="322"/>
      <c r="V18" s="322"/>
      <c r="W18" s="322"/>
    </row>
    <row r="19" spans="2:23" ht="21" customHeight="1">
      <c r="B19" s="481"/>
      <c r="C19" s="1226" t="s">
        <v>3488</v>
      </c>
      <c r="D19" s="1226"/>
      <c r="E19" s="1226"/>
      <c r="F19" s="1226"/>
      <c r="G19" s="740" t="s">
        <v>482</v>
      </c>
      <c r="H19" s="580"/>
      <c r="I19" s="740" t="s">
        <v>482</v>
      </c>
      <c r="J19" s="580"/>
      <c r="K19" s="740" t="s">
        <v>482</v>
      </c>
      <c r="L19" s="580"/>
      <c r="M19" s="331" t="s">
        <v>482</v>
      </c>
      <c r="N19" s="1224">
        <f t="shared" si="0"/>
        <v>0</v>
      </c>
      <c r="Q19" s="322"/>
      <c r="R19" s="322"/>
      <c r="S19" s="322"/>
      <c r="T19" s="322"/>
      <c r="U19" s="322"/>
      <c r="V19" s="322"/>
      <c r="W19" s="322"/>
    </row>
    <row r="20" spans="2:23" ht="21" customHeight="1">
      <c r="B20" s="481"/>
      <c r="C20" s="1348" t="s">
        <v>3489</v>
      </c>
      <c r="D20" s="1226"/>
      <c r="E20" s="1226"/>
      <c r="F20" s="1226"/>
      <c r="G20" s="740" t="s">
        <v>482</v>
      </c>
      <c r="H20" s="1225">
        <f>H13+H15+H16+H17+H18+H19</f>
        <v>0</v>
      </c>
      <c r="I20" s="740" t="s">
        <v>482</v>
      </c>
      <c r="J20" s="1225">
        <f>J13+J15+J16+J17+J18+J19</f>
        <v>0</v>
      </c>
      <c r="K20" s="740" t="s">
        <v>482</v>
      </c>
      <c r="L20" s="1225">
        <f>L13+L15+L16+L17+L18+L19</f>
        <v>0</v>
      </c>
      <c r="M20" s="331" t="s">
        <v>482</v>
      </c>
      <c r="N20" s="1225">
        <f>N13+N15+N16+N17+N18+N19</f>
        <v>0</v>
      </c>
      <c r="Q20" s="322"/>
      <c r="R20" s="322"/>
      <c r="S20" s="322"/>
      <c r="T20" s="322"/>
      <c r="U20" s="322"/>
      <c r="V20" s="322"/>
      <c r="W20" s="322"/>
    </row>
    <row r="21" spans="2:23" ht="21" customHeight="1">
      <c r="B21" s="481" t="s">
        <v>389</v>
      </c>
      <c r="C21" s="668"/>
      <c r="D21" s="668"/>
      <c r="E21" s="668"/>
      <c r="F21" s="668"/>
      <c r="G21" s="331" t="s">
        <v>482</v>
      </c>
      <c r="H21" s="580"/>
      <c r="I21" s="331" t="s">
        <v>482</v>
      </c>
      <c r="J21" s="580"/>
      <c r="K21" s="331" t="s">
        <v>482</v>
      </c>
      <c r="L21" s="580"/>
      <c r="M21" s="331" t="s">
        <v>482</v>
      </c>
      <c r="N21" s="1224">
        <f t="shared" si="0"/>
        <v>0</v>
      </c>
      <c r="Q21" s="322"/>
      <c r="R21" s="322"/>
      <c r="S21" s="322"/>
      <c r="T21" s="322"/>
      <c r="U21" s="322"/>
      <c r="V21" s="322"/>
      <c r="W21" s="322"/>
    </row>
    <row r="22" spans="2:23" ht="21" customHeight="1">
      <c r="B22" s="481" t="s">
        <v>390</v>
      </c>
      <c r="C22" s="668"/>
      <c r="D22" s="668"/>
      <c r="E22" s="668"/>
      <c r="F22" s="668"/>
      <c r="G22" s="331" t="s">
        <v>482</v>
      </c>
      <c r="H22" s="580"/>
      <c r="I22" s="331" t="s">
        <v>482</v>
      </c>
      <c r="J22" s="580"/>
      <c r="K22" s="331" t="s">
        <v>482</v>
      </c>
      <c r="L22" s="580"/>
      <c r="M22" s="331" t="s">
        <v>482</v>
      </c>
      <c r="N22" s="1224">
        <f t="shared" si="0"/>
        <v>0</v>
      </c>
      <c r="Q22" s="322"/>
      <c r="R22" s="322"/>
      <c r="S22" s="322"/>
      <c r="T22" s="322"/>
      <c r="U22" s="322"/>
      <c r="V22" s="322"/>
      <c r="W22" s="322"/>
    </row>
    <row r="23" spans="2:23" ht="21" customHeight="1">
      <c r="B23" s="481"/>
      <c r="C23" s="1348" t="s">
        <v>3781</v>
      </c>
      <c r="D23" s="1226"/>
      <c r="E23" s="1226"/>
      <c r="F23" s="1226"/>
      <c r="G23" s="740" t="s">
        <v>482</v>
      </c>
      <c r="H23" s="1225">
        <f>H21+H22</f>
        <v>0</v>
      </c>
      <c r="I23" s="740" t="s">
        <v>482</v>
      </c>
      <c r="J23" s="1225">
        <f>J21+J22</f>
        <v>0</v>
      </c>
      <c r="K23" s="740" t="s">
        <v>482</v>
      </c>
      <c r="L23" s="1225">
        <f>L21+L22</f>
        <v>0</v>
      </c>
      <c r="M23" s="331" t="s">
        <v>482</v>
      </c>
      <c r="N23" s="1224">
        <f t="shared" si="0"/>
        <v>0</v>
      </c>
      <c r="Q23" s="322"/>
      <c r="R23" s="322"/>
      <c r="S23" s="322"/>
      <c r="T23" s="322"/>
      <c r="U23" s="322"/>
      <c r="V23" s="322"/>
      <c r="W23" s="322"/>
    </row>
    <row r="24" spans="2:23">
      <c r="B24" s="1347"/>
      <c r="C24" s="1146"/>
      <c r="D24" s="1146"/>
      <c r="E24" s="1146"/>
      <c r="F24" s="1146"/>
      <c r="G24" s="1146"/>
      <c r="H24" s="1146"/>
      <c r="I24" s="1146"/>
      <c r="J24" s="1146"/>
      <c r="K24" s="1146"/>
      <c r="L24" s="1146"/>
      <c r="M24" s="1146"/>
      <c r="N24" s="1146"/>
      <c r="Q24" s="322"/>
      <c r="R24" s="322"/>
      <c r="S24" s="322"/>
      <c r="T24" s="322"/>
      <c r="U24" s="322"/>
      <c r="V24" s="322"/>
      <c r="W24" s="322"/>
    </row>
    <row r="25" spans="2:23">
      <c r="B25" s="1347"/>
      <c r="C25" s="1146" t="s">
        <v>1133</v>
      </c>
      <c r="D25" s="1146"/>
      <c r="E25" s="1146"/>
      <c r="F25" s="1146"/>
      <c r="G25" s="1146"/>
      <c r="H25" s="1146"/>
      <c r="I25" s="1146"/>
      <c r="J25" s="1146"/>
      <c r="K25" s="1146"/>
      <c r="L25" s="1146"/>
      <c r="M25" s="1146"/>
      <c r="N25" s="1146"/>
      <c r="Q25" s="322"/>
      <c r="R25" s="322"/>
      <c r="S25" s="322"/>
      <c r="T25" s="322"/>
      <c r="U25" s="322"/>
      <c r="V25" s="322"/>
      <c r="W25" s="322"/>
    </row>
    <row r="26" spans="2:23">
      <c r="B26" s="1347"/>
      <c r="C26" s="1146"/>
      <c r="D26" s="1146"/>
      <c r="E26" s="1146"/>
      <c r="F26" s="1146"/>
      <c r="G26" s="1146"/>
      <c r="H26" s="1146"/>
      <c r="I26" s="1146"/>
      <c r="J26" s="1146"/>
      <c r="K26" s="1146"/>
      <c r="L26" s="1146"/>
      <c r="M26" s="1146"/>
      <c r="N26" s="1146"/>
      <c r="Q26" s="322"/>
      <c r="R26" s="322"/>
      <c r="S26" s="322"/>
      <c r="T26" s="322"/>
      <c r="U26" s="322"/>
      <c r="V26" s="322"/>
      <c r="W26" s="322"/>
    </row>
    <row r="27" spans="2:23">
      <c r="B27" s="1347"/>
      <c r="C27" s="1146"/>
      <c r="D27" s="1146"/>
      <c r="E27" s="1146"/>
      <c r="F27" s="1146"/>
      <c r="G27" s="1146"/>
      <c r="H27" s="1146"/>
      <c r="I27" s="1146"/>
      <c r="J27" s="1146"/>
      <c r="K27" s="1146"/>
      <c r="L27" s="1146"/>
      <c r="M27" s="1146"/>
      <c r="N27" s="1146"/>
      <c r="Q27" s="322"/>
      <c r="R27" s="322"/>
      <c r="S27" s="322"/>
      <c r="T27" s="322"/>
      <c r="U27" s="322"/>
      <c r="V27" s="322"/>
      <c r="W27" s="322"/>
    </row>
    <row r="28" spans="2:23" ht="15.6">
      <c r="B28" s="1927" t="s">
        <v>530</v>
      </c>
      <c r="C28" s="1927"/>
      <c r="D28" s="1927"/>
      <c r="E28" s="1927"/>
      <c r="F28" s="1927"/>
      <c r="G28" s="1927"/>
      <c r="H28" s="1927"/>
      <c r="I28" s="1927"/>
      <c r="J28" s="1927"/>
      <c r="K28" s="1927"/>
      <c r="L28" s="1927"/>
      <c r="M28" s="1927"/>
      <c r="N28" s="1927"/>
    </row>
    <row r="29" spans="2:23" ht="15.6">
      <c r="B29" s="1927" t="s">
        <v>531</v>
      </c>
      <c r="C29" s="1927"/>
      <c r="D29" s="1927"/>
      <c r="E29" s="1927"/>
      <c r="F29" s="1927"/>
      <c r="G29" s="1927"/>
      <c r="H29" s="1927"/>
      <c r="I29" s="1927"/>
      <c r="J29" s="1927"/>
      <c r="K29" s="1927"/>
      <c r="L29" s="1927"/>
      <c r="M29" s="1927"/>
      <c r="N29" s="1927"/>
    </row>
    <row r="30" spans="2:23" ht="6.75" customHeight="1">
      <c r="B30" s="1349"/>
      <c r="C30" s="1349"/>
      <c r="D30" s="1349"/>
      <c r="E30" s="1349"/>
      <c r="F30" s="1349"/>
      <c r="G30" s="1349"/>
      <c r="H30" s="1349"/>
      <c r="I30" s="1349"/>
      <c r="J30" s="1349"/>
      <c r="K30" s="1349"/>
      <c r="L30" s="1349"/>
      <c r="M30" s="1349"/>
      <c r="N30" s="1349"/>
    </row>
    <row r="31" spans="2:23" ht="18" customHeight="1">
      <c r="B31" s="1347"/>
      <c r="C31" s="1146"/>
      <c r="D31" s="1931" t="s">
        <v>18</v>
      </c>
      <c r="E31" s="1931"/>
      <c r="F31" s="1350"/>
      <c r="G31" s="1931" t="s">
        <v>532</v>
      </c>
      <c r="H31" s="1931"/>
      <c r="I31" s="1931"/>
      <c r="J31" s="1931"/>
      <c r="K31" s="1931"/>
      <c r="L31" s="1931"/>
      <c r="M31" s="1350"/>
      <c r="N31" s="1351" t="s">
        <v>533</v>
      </c>
    </row>
    <row r="32" spans="2:23" ht="21" customHeight="1">
      <c r="B32" s="481"/>
      <c r="C32" s="481" t="s">
        <v>384</v>
      </c>
      <c r="D32" s="668"/>
      <c r="E32" s="668"/>
      <c r="G32" s="668"/>
      <c r="H32" s="668"/>
      <c r="I32" s="668"/>
      <c r="J32" s="668"/>
      <c r="K32" s="668"/>
      <c r="L32" s="668"/>
      <c r="M32" s="331" t="s">
        <v>482</v>
      </c>
      <c r="N32" s="376"/>
    </row>
    <row r="33" spans="2:14" ht="21" customHeight="1">
      <c r="B33" s="481"/>
      <c r="C33" s="481" t="s">
        <v>385</v>
      </c>
      <c r="D33" s="668"/>
      <c r="E33" s="668"/>
      <c r="G33" s="668"/>
      <c r="H33" s="668"/>
      <c r="I33" s="668"/>
      <c r="J33" s="668"/>
      <c r="K33" s="668"/>
      <c r="L33" s="668"/>
      <c r="M33" s="331" t="s">
        <v>482</v>
      </c>
      <c r="N33" s="376"/>
    </row>
    <row r="34" spans="2:14" ht="21" customHeight="1">
      <c r="B34" s="481"/>
      <c r="C34" s="481" t="s">
        <v>386</v>
      </c>
      <c r="D34" s="668"/>
      <c r="E34" s="668"/>
      <c r="G34" s="668"/>
      <c r="H34" s="668"/>
      <c r="I34" s="668"/>
      <c r="J34" s="668"/>
      <c r="K34" s="668"/>
      <c r="L34" s="668"/>
      <c r="M34" s="331" t="s">
        <v>482</v>
      </c>
      <c r="N34" s="376"/>
    </row>
    <row r="35" spans="2:14" ht="21" customHeight="1">
      <c r="B35" s="481"/>
      <c r="C35" s="481" t="s">
        <v>387</v>
      </c>
      <c r="D35" s="668"/>
      <c r="E35" s="668"/>
      <c r="G35" s="668"/>
      <c r="H35" s="668"/>
      <c r="I35" s="668"/>
      <c r="J35" s="668"/>
      <c r="K35" s="668"/>
      <c r="L35" s="668"/>
      <c r="M35" s="331" t="s">
        <v>482</v>
      </c>
      <c r="N35" s="376"/>
    </row>
    <row r="36" spans="2:14" ht="21" customHeight="1">
      <c r="B36" s="481"/>
      <c r="C36" s="481" t="s">
        <v>388</v>
      </c>
      <c r="D36" s="668"/>
      <c r="E36" s="668"/>
      <c r="G36" s="668"/>
      <c r="H36" s="668"/>
      <c r="I36" s="668"/>
      <c r="J36" s="668"/>
      <c r="K36" s="668"/>
      <c r="L36" s="668"/>
      <c r="M36" s="331" t="s">
        <v>482</v>
      </c>
      <c r="N36" s="376"/>
    </row>
    <row r="37" spans="2:14">
      <c r="B37" s="1347"/>
      <c r="C37" s="1146"/>
      <c r="D37" s="1146"/>
      <c r="E37" s="1146"/>
      <c r="F37" s="1146"/>
      <c r="G37" s="1146"/>
      <c r="H37" s="1146"/>
      <c r="I37" s="1146"/>
      <c r="J37" s="1146"/>
      <c r="K37" s="1146"/>
      <c r="L37" s="1146"/>
      <c r="M37" s="1146"/>
      <c r="N37" s="1146"/>
    </row>
    <row r="38" spans="2:14">
      <c r="B38" s="1347"/>
      <c r="C38" s="1146"/>
      <c r="D38" s="1146"/>
      <c r="E38" s="1146"/>
      <c r="F38" s="1146"/>
      <c r="G38" s="1146"/>
      <c r="H38" s="1146"/>
      <c r="I38" s="1146"/>
      <c r="J38" s="1146"/>
      <c r="K38" s="1146"/>
      <c r="L38" s="1146"/>
      <c r="M38" s="1146"/>
      <c r="N38" s="1146"/>
    </row>
    <row r="39" spans="2:14">
      <c r="B39" s="1347"/>
      <c r="C39" s="1146"/>
      <c r="D39" s="1146"/>
      <c r="E39" s="1146"/>
      <c r="F39" s="1146"/>
      <c r="G39" s="1146"/>
      <c r="H39" s="1146"/>
      <c r="I39" s="1146"/>
      <c r="J39" s="1146"/>
      <c r="K39" s="1146"/>
      <c r="L39" s="1146"/>
      <c r="M39" s="1146"/>
      <c r="N39" s="1146"/>
    </row>
    <row r="40" spans="2:14" ht="15.6">
      <c r="B40" s="1927" t="s">
        <v>322</v>
      </c>
      <c r="C40" s="1927"/>
      <c r="D40" s="1927"/>
      <c r="E40" s="1927"/>
      <c r="F40" s="1927"/>
      <c r="G40" s="1927"/>
      <c r="H40" s="1927"/>
      <c r="I40" s="1927"/>
      <c r="J40" s="1927"/>
      <c r="K40" s="1927"/>
      <c r="L40" s="1927"/>
      <c r="M40" s="1927"/>
      <c r="N40" s="1927"/>
    </row>
    <row r="41" spans="2:14">
      <c r="B41" s="1347"/>
      <c r="C41" s="1146"/>
      <c r="D41" s="1146"/>
      <c r="E41" s="1146"/>
      <c r="F41" s="1146"/>
      <c r="G41" s="1146"/>
      <c r="H41" s="1146"/>
      <c r="I41" s="1146"/>
      <c r="J41" s="1146"/>
      <c r="K41" s="1146"/>
      <c r="L41" s="1146"/>
      <c r="M41" s="1146"/>
      <c r="N41" s="1146"/>
    </row>
    <row r="42" spans="2:14">
      <c r="B42" s="1347"/>
      <c r="C42" s="1146"/>
      <c r="D42" s="1146"/>
      <c r="E42" s="1146"/>
      <c r="F42" s="1146"/>
      <c r="G42" s="1146"/>
      <c r="H42" s="1146"/>
      <c r="I42" s="1146"/>
      <c r="J42" s="1146"/>
      <c r="K42" s="1146"/>
      <c r="L42" s="1146"/>
      <c r="M42" s="1146"/>
      <c r="N42" s="1141" t="s">
        <v>538</v>
      </c>
    </row>
    <row r="43" spans="2:14">
      <c r="B43" s="1347"/>
      <c r="C43" s="1146"/>
      <c r="D43" s="1146"/>
      <c r="E43" s="1146"/>
      <c r="F43" s="1146"/>
      <c r="G43" s="1146"/>
      <c r="H43" s="1146"/>
      <c r="I43" s="1146"/>
      <c r="J43" s="1146"/>
      <c r="K43" s="1146"/>
      <c r="L43" s="1146"/>
      <c r="M43" s="1146"/>
      <c r="N43" s="1141" t="s">
        <v>539</v>
      </c>
    </row>
    <row r="44" spans="2:14">
      <c r="B44" s="1347"/>
      <c r="C44" s="1146"/>
      <c r="D44" s="1930" t="s">
        <v>535</v>
      </c>
      <c r="E44" s="1930"/>
      <c r="F44" s="1146"/>
      <c r="G44" s="1146"/>
      <c r="H44" s="1930" t="s">
        <v>536</v>
      </c>
      <c r="I44" s="1930"/>
      <c r="J44" s="1345" t="s">
        <v>537</v>
      </c>
      <c r="K44" s="1146"/>
      <c r="L44" s="1345" t="s">
        <v>533</v>
      </c>
      <c r="M44" s="1146"/>
      <c r="N44" s="1345" t="str">
        <f>"Year "&amp;TEXT('KEY INPUTS'!D34,"0")&amp;""</f>
        <v>Year 2019</v>
      </c>
    </row>
    <row r="45" spans="2:14">
      <c r="B45" s="1347"/>
      <c r="C45" s="1146"/>
      <c r="D45" s="1146"/>
      <c r="E45" s="1146"/>
      <c r="F45" s="1146"/>
      <c r="G45" s="1146"/>
      <c r="H45" s="1146"/>
      <c r="I45" s="1146"/>
      <c r="J45" s="1146"/>
      <c r="K45" s="1146"/>
      <c r="L45" s="1146"/>
      <c r="M45" s="1146"/>
      <c r="N45" s="1146"/>
    </row>
    <row r="46" spans="2:14" ht="21" customHeight="1">
      <c r="B46" s="481"/>
      <c r="C46" s="481" t="s">
        <v>384</v>
      </c>
      <c r="D46" s="668"/>
      <c r="E46" s="668"/>
      <c r="F46" s="668"/>
      <c r="G46" s="668"/>
      <c r="H46" s="668"/>
      <c r="I46" s="668"/>
      <c r="J46" s="668"/>
      <c r="K46" s="331" t="s">
        <v>482</v>
      </c>
      <c r="L46" s="376"/>
      <c r="M46" s="667"/>
      <c r="N46" s="376"/>
    </row>
    <row r="47" spans="2:14" ht="21" customHeight="1">
      <c r="B47" s="481"/>
      <c r="C47" s="481" t="s">
        <v>385</v>
      </c>
      <c r="D47" s="668"/>
      <c r="E47" s="668"/>
      <c r="F47" s="668"/>
      <c r="G47" s="668"/>
      <c r="H47" s="668"/>
      <c r="I47" s="668"/>
      <c r="J47" s="668"/>
      <c r="K47" s="331" t="s">
        <v>482</v>
      </c>
      <c r="L47" s="376"/>
      <c r="M47" s="667"/>
      <c r="N47" s="376"/>
    </row>
    <row r="48" spans="2:14" ht="21" customHeight="1">
      <c r="B48" s="481"/>
      <c r="C48" s="481" t="s">
        <v>386</v>
      </c>
      <c r="D48" s="668"/>
      <c r="E48" s="668"/>
      <c r="F48" s="668"/>
      <c r="G48" s="668"/>
      <c r="H48" s="668"/>
      <c r="I48" s="668"/>
      <c r="J48" s="668"/>
      <c r="K48" s="331" t="s">
        <v>482</v>
      </c>
      <c r="L48" s="376"/>
      <c r="M48" s="667"/>
      <c r="N48" s="376"/>
    </row>
    <row r="49" spans="2:14" ht="21" customHeight="1">
      <c r="B49" s="481"/>
      <c r="C49" s="481" t="s">
        <v>387</v>
      </c>
      <c r="D49" s="668"/>
      <c r="E49" s="668"/>
      <c r="F49" s="668"/>
      <c r="G49" s="668"/>
      <c r="H49" s="668"/>
      <c r="I49" s="668"/>
      <c r="J49" s="668"/>
      <c r="K49" s="331" t="s">
        <v>482</v>
      </c>
      <c r="L49" s="376"/>
      <c r="M49" s="667"/>
      <c r="N49" s="376"/>
    </row>
    <row r="50" spans="2:14">
      <c r="B50" s="481"/>
    </row>
    <row r="51" spans="2:14">
      <c r="B51" s="481"/>
    </row>
    <row r="52" spans="2:14">
      <c r="B52" s="481"/>
    </row>
    <row r="53" spans="2:14">
      <c r="B53" s="481"/>
    </row>
    <row r="54" spans="2:14">
      <c r="B54" s="481"/>
    </row>
    <row r="55" spans="2:14">
      <c r="B55" s="481"/>
    </row>
    <row r="56" spans="2:14">
      <c r="B56" s="481"/>
    </row>
    <row r="57" spans="2:14">
      <c r="B57" s="481"/>
    </row>
    <row r="58" spans="2:14">
      <c r="B58" s="481"/>
    </row>
    <row r="59" spans="2:14">
      <c r="B59" s="481"/>
    </row>
    <row r="60" spans="2:14">
      <c r="B60" s="481"/>
    </row>
    <row r="61" spans="2:14" ht="13.8">
      <c r="B61" s="1813" t="s">
        <v>3443</v>
      </c>
      <c r="C61" s="1813"/>
      <c r="D61" s="1813"/>
      <c r="E61" s="1813"/>
      <c r="F61" s="1813"/>
      <c r="G61" s="1813"/>
      <c r="H61" s="1813"/>
      <c r="I61" s="1813"/>
      <c r="J61" s="1813"/>
      <c r="K61" s="1813"/>
      <c r="L61" s="1813"/>
      <c r="M61" s="1813"/>
      <c r="N61" s="1813"/>
    </row>
    <row r="62" spans="2:14">
      <c r="B62" s="481"/>
    </row>
    <row r="63" spans="2:14">
      <c r="B63" s="481"/>
    </row>
    <row r="64" spans="2:14">
      <c r="B64" s="481"/>
    </row>
    <row r="65" spans="2:2">
      <c r="B65" s="481"/>
    </row>
    <row r="66" spans="2:2">
      <c r="B66" s="481"/>
    </row>
    <row r="67" spans="2:2">
      <c r="B67" s="481"/>
    </row>
    <row r="68" spans="2:2">
      <c r="B68" s="481"/>
    </row>
    <row r="69" spans="2:2">
      <c r="B69" s="481"/>
    </row>
  </sheetData>
  <sheetProtection algorithmName="SHA-512" hashValue="UfJ6OLOSCtrplRXBnjqAApCIl4dO91l/WgB10XwUg2IUy95n+bw9UddJjlnWQDpcBWuKFaNchbpRMh6At+PWLg==" saltValue="l4QGPl4HIAfpE+bfB8O5X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13">
    <mergeCell ref="B61:N61"/>
    <mergeCell ref="B29:N29"/>
    <mergeCell ref="D31:E31"/>
    <mergeCell ref="G31:L31"/>
    <mergeCell ref="B40:N40"/>
    <mergeCell ref="D44:E44"/>
    <mergeCell ref="H44:I44"/>
    <mergeCell ref="B28:N28"/>
    <mergeCell ref="B3:N3"/>
    <mergeCell ref="B4:N4"/>
    <mergeCell ref="B5:N5"/>
    <mergeCell ref="B6:N6"/>
    <mergeCell ref="C9:E9"/>
  </mergeCells>
  <pageMargins left="0.25" right="0.25" top="0.5" bottom="0.5" header="0.25" footer="0.25"/>
  <pageSetup paperSize="5" orientation="portrait" r:id="rId5"/>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8">
    <tabColor theme="3" tint="0.39997558519241921"/>
  </sheetPr>
  <dimension ref="B1:U50"/>
  <sheetViews>
    <sheetView zoomScaleNormal="100" zoomScaleSheetLayoutView="80" workbookViewId="0">
      <selection activeCell="G11" sqref="G11"/>
    </sheetView>
  </sheetViews>
  <sheetFormatPr defaultColWidth="8.88671875" defaultRowHeight="13.2"/>
  <cols>
    <col min="1" max="4" width="4.6640625" style="398" customWidth="1"/>
    <col min="5" max="5" width="17.88671875" style="398" customWidth="1"/>
    <col min="6" max="6" width="8.88671875" style="398"/>
    <col min="7" max="7" width="16.6640625" style="398" customWidth="1"/>
    <col min="8" max="8" width="1.6640625" style="398" customWidth="1"/>
    <col min="9" max="9" width="15.6640625" style="398" customWidth="1"/>
    <col min="10" max="10" width="1.6640625" style="398" customWidth="1"/>
    <col min="11" max="11" width="8.6640625" style="398" customWidth="1"/>
    <col min="12" max="12" width="7.6640625" style="398" customWidth="1"/>
    <col min="13" max="15" width="8.88671875" style="398"/>
    <col min="16" max="17" width="10.33203125" style="398" bestFit="1" customWidth="1"/>
    <col min="18" max="16384" width="8.88671875" style="398"/>
  </cols>
  <sheetData>
    <row r="1" spans="2:21">
      <c r="B1" s="1114"/>
      <c r="C1" s="1114"/>
      <c r="D1" s="1114"/>
      <c r="E1" s="1114"/>
      <c r="F1" s="1114"/>
      <c r="G1" s="1114"/>
      <c r="H1" s="1114"/>
      <c r="I1" s="1114"/>
      <c r="J1" s="1114"/>
      <c r="K1" s="1114"/>
      <c r="L1" s="1114"/>
    </row>
    <row r="2" spans="2:21" ht="20.399999999999999">
      <c r="B2" s="1788" t="s">
        <v>160</v>
      </c>
      <c r="C2" s="1788"/>
      <c r="D2" s="1788"/>
      <c r="E2" s="1788"/>
      <c r="F2" s="1788"/>
      <c r="G2" s="1788"/>
      <c r="H2" s="1788"/>
      <c r="I2" s="1788"/>
      <c r="J2" s="1788"/>
      <c r="K2" s="1788"/>
      <c r="L2" s="1788"/>
    </row>
    <row r="3" spans="2:21" ht="20.399999999999999">
      <c r="B3" s="1788" t="str">
        <f>"AND  "&amp;TEXT('KEY INPUTS'!D34+1,"0")&amp;"  DEBT  SERVICE  FOR  BONDS"</f>
        <v>AND  2020  DEBT  SERVICE  FOR  BONDS</v>
      </c>
      <c r="C3" s="1788"/>
      <c r="D3" s="1788"/>
      <c r="E3" s="1788"/>
      <c r="F3" s="1788"/>
      <c r="G3" s="1788"/>
      <c r="H3" s="1788"/>
      <c r="I3" s="1788"/>
      <c r="J3" s="1788"/>
      <c r="K3" s="1788"/>
      <c r="L3" s="1788"/>
    </row>
    <row r="4" spans="2:21" ht="15.6">
      <c r="B4" s="1761" t="str">
        <f>UPPER('KEY INPUTS'!D53)&amp;" UTILITY  ASSESSMENT  BONDS"</f>
        <v xml:space="preserve"> UTILITY  ASSESSMENT  BONDS</v>
      </c>
      <c r="C4" s="1761"/>
      <c r="D4" s="1761"/>
      <c r="E4" s="1761"/>
      <c r="F4" s="1761"/>
      <c r="G4" s="1761"/>
      <c r="H4" s="1761"/>
      <c r="I4" s="1761"/>
      <c r="J4" s="1761"/>
      <c r="K4" s="1761"/>
      <c r="L4" s="1761"/>
    </row>
    <row r="5" spans="2:21" ht="9.75" customHeight="1" thickBot="1">
      <c r="B5" s="1379"/>
      <c r="C5" s="1379"/>
      <c r="D5" s="1379"/>
      <c r="E5" s="1379"/>
      <c r="F5" s="1379"/>
      <c r="G5" s="1379"/>
      <c r="H5" s="1379"/>
      <c r="I5" s="1379"/>
      <c r="J5" s="1379"/>
      <c r="K5" s="1379"/>
      <c r="L5" s="1379"/>
    </row>
    <row r="6" spans="2:21" ht="27.75" customHeight="1" thickTop="1" thickBot="1">
      <c r="B6" s="1333"/>
      <c r="C6" s="1333"/>
      <c r="D6" s="1333"/>
      <c r="E6" s="1333"/>
      <c r="F6" s="1333"/>
      <c r="G6" s="1115" t="s">
        <v>125</v>
      </c>
      <c r="H6" s="1932" t="s">
        <v>126</v>
      </c>
      <c r="I6" s="1763"/>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70"/>
      <c r="D7" s="1170"/>
      <c r="E7" s="1170"/>
      <c r="F7" s="1170"/>
      <c r="G7" s="1171" t="s">
        <v>787</v>
      </c>
      <c r="H7" s="1705"/>
      <c r="I7" s="1706"/>
      <c r="O7" s="322"/>
      <c r="P7" s="322"/>
      <c r="Q7" s="322"/>
      <c r="R7" s="322"/>
      <c r="S7" s="322"/>
      <c r="T7" s="322"/>
      <c r="U7" s="322"/>
    </row>
    <row r="8" spans="2:21" ht="21" customHeight="1">
      <c r="B8" s="690" t="s">
        <v>113</v>
      </c>
      <c r="C8" s="690"/>
      <c r="D8" s="690"/>
      <c r="E8" s="690"/>
      <c r="F8" s="690"/>
      <c r="G8" s="1174" t="s">
        <v>787</v>
      </c>
      <c r="H8" s="1679"/>
      <c r="I8" s="1680"/>
      <c r="O8" s="377"/>
      <c r="P8" s="322"/>
      <c r="Q8" s="322"/>
      <c r="R8" s="322"/>
      <c r="S8" s="322"/>
      <c r="T8" s="322"/>
      <c r="U8" s="322"/>
    </row>
    <row r="9" spans="2:21" ht="21" customHeight="1">
      <c r="B9" s="690"/>
      <c r="C9" s="690"/>
      <c r="D9" s="690"/>
      <c r="E9" s="690"/>
      <c r="F9" s="690"/>
      <c r="G9" s="1174"/>
      <c r="H9" s="1380"/>
      <c r="I9" s="1228"/>
      <c r="O9" s="322"/>
      <c r="P9" s="322"/>
      <c r="Q9" s="322"/>
      <c r="R9" s="322"/>
      <c r="S9" s="322"/>
      <c r="T9" s="322"/>
      <c r="U9" s="322"/>
    </row>
    <row r="10" spans="2:21" ht="21" customHeight="1">
      <c r="B10" s="690" t="s">
        <v>326</v>
      </c>
      <c r="C10" s="690"/>
      <c r="D10" s="690"/>
      <c r="E10" s="690"/>
      <c r="F10" s="690"/>
      <c r="G10" s="601"/>
      <c r="H10" s="1830" t="s">
        <v>787</v>
      </c>
      <c r="I10" s="1831"/>
      <c r="O10" s="322"/>
      <c r="P10" s="322"/>
      <c r="Q10" s="322"/>
      <c r="R10" s="322"/>
      <c r="S10" s="322"/>
      <c r="T10" s="322"/>
      <c r="U10" s="322"/>
    </row>
    <row r="11" spans="2:21" ht="21" customHeight="1" thickBot="1">
      <c r="B11" s="690" t="str">
        <f>'KEY INPUTS'!D28</f>
        <v>Outstanding - December 31, 2019</v>
      </c>
      <c r="C11" s="690"/>
      <c r="D11" s="690"/>
      <c r="E11" s="690"/>
      <c r="F11" s="690"/>
      <c r="G11" s="1129">
        <f>+H7+H8-G10</f>
        <v>0</v>
      </c>
      <c r="H11" s="1832" t="s">
        <v>787</v>
      </c>
      <c r="I11" s="1833"/>
      <c r="O11" s="322"/>
      <c r="P11" s="322"/>
      <c r="Q11" s="322"/>
      <c r="R11" s="322"/>
      <c r="S11" s="322"/>
      <c r="T11" s="322"/>
      <c r="U11" s="322"/>
    </row>
    <row r="12" spans="2:21" ht="21" customHeight="1" thickBot="1">
      <c r="B12" s="1114"/>
      <c r="C12" s="1114"/>
      <c r="D12" s="1114"/>
      <c r="E12" s="1114"/>
      <c r="F12" s="1114"/>
      <c r="G12" s="1131">
        <f>SUM(G7:G11)</f>
        <v>0</v>
      </c>
      <c r="H12" s="1837">
        <f>SUM(H7:I11)</f>
        <v>0</v>
      </c>
      <c r="I12" s="1838"/>
      <c r="O12" s="322"/>
      <c r="P12" s="322"/>
      <c r="Q12" s="322"/>
      <c r="R12" s="322"/>
      <c r="S12" s="322"/>
      <c r="T12" s="322"/>
      <c r="U12" s="322"/>
    </row>
    <row r="13" spans="2:21" ht="21" customHeight="1" thickTop="1">
      <c r="B13" s="1382" t="str">
        <f>TEXT('KEY INPUTS'!D34+1,"0")&amp;" Bond Maturities - Assessment Bonds"</f>
        <v>2020 Bond Maturities - Assessment Bonds</v>
      </c>
      <c r="C13" s="1128"/>
      <c r="D13" s="1128"/>
      <c r="E13" s="1128"/>
      <c r="F13" s="1128"/>
      <c r="G13" s="1128"/>
      <c r="H13" s="1128"/>
      <c r="I13" s="1381"/>
      <c r="J13" s="451" t="s">
        <v>482</v>
      </c>
      <c r="K13" s="1714"/>
      <c r="L13" s="1714"/>
      <c r="O13" s="322"/>
      <c r="P13" s="322"/>
      <c r="Q13" s="322"/>
      <c r="R13" s="322"/>
      <c r="S13" s="322"/>
      <c r="T13" s="322"/>
      <c r="U13" s="322"/>
    </row>
    <row r="14" spans="2:21" ht="21" customHeight="1" thickBot="1">
      <c r="B14" s="1383" t="str">
        <f>TEXT('KEY INPUTS'!D34+1,"0")&amp;" Interest on Bonds"</f>
        <v>2020 Interest on Bonds</v>
      </c>
      <c r="C14" s="1232"/>
      <c r="D14" s="1232"/>
      <c r="E14" s="1232"/>
      <c r="F14" s="1232"/>
      <c r="G14" s="1257"/>
      <c r="H14" s="488" t="s">
        <v>482</v>
      </c>
      <c r="I14" s="608"/>
      <c r="O14" s="322"/>
      <c r="P14" s="322"/>
      <c r="Q14" s="322"/>
      <c r="R14" s="322"/>
      <c r="S14" s="322"/>
      <c r="T14" s="322"/>
      <c r="U14" s="322"/>
    </row>
    <row r="15" spans="2:21" ht="16.5" customHeight="1" thickTop="1">
      <c r="B15" s="1843"/>
      <c r="C15" s="1843"/>
      <c r="D15" s="1843"/>
      <c r="E15" s="1843"/>
      <c r="F15" s="1843"/>
      <c r="G15" s="1843"/>
      <c r="H15" s="1843"/>
      <c r="I15" s="1844"/>
      <c r="O15" s="322"/>
      <c r="P15" s="322"/>
      <c r="Q15" s="322"/>
      <c r="R15" s="322"/>
      <c r="S15" s="322"/>
      <c r="T15" s="322"/>
      <c r="U15" s="322"/>
    </row>
    <row r="16" spans="2:21" ht="26.25" customHeight="1" thickBot="1">
      <c r="B16" s="1935" t="str">
        <f>UPPER('KEY INPUTS'!D53) &amp;" UTILITY  CAPITAL  BONDS"</f>
        <v xml:space="preserve"> UTILITY  CAPITAL  BONDS</v>
      </c>
      <c r="C16" s="1935"/>
      <c r="D16" s="1935"/>
      <c r="E16" s="1935"/>
      <c r="F16" s="1935"/>
      <c r="G16" s="1935"/>
      <c r="H16" s="1935"/>
      <c r="I16" s="1936"/>
      <c r="O16" s="322"/>
      <c r="P16" s="322"/>
      <c r="Q16" s="322"/>
      <c r="R16" s="322"/>
      <c r="S16" s="322"/>
      <c r="T16" s="322"/>
      <c r="U16" s="322"/>
    </row>
    <row r="17" spans="2:21" ht="21" customHeight="1" thickTop="1">
      <c r="B17" s="1211" t="str">
        <f>'KEY INPUTS'!D27</f>
        <v>Outstanding - January 1, 2019</v>
      </c>
      <c r="C17" s="1170"/>
      <c r="D17" s="1170"/>
      <c r="E17" s="1170"/>
      <c r="F17" s="1170"/>
      <c r="G17" s="1171" t="s">
        <v>787</v>
      </c>
      <c r="H17" s="1705"/>
      <c r="I17" s="1706"/>
      <c r="O17" s="322"/>
      <c r="P17" s="322"/>
      <c r="Q17" s="322"/>
      <c r="R17" s="322"/>
      <c r="S17" s="322"/>
      <c r="T17" s="322"/>
      <c r="U17" s="322"/>
    </row>
    <row r="18" spans="2:21" ht="21" customHeight="1">
      <c r="B18" s="690" t="s">
        <v>113</v>
      </c>
      <c r="C18" s="690"/>
      <c r="D18" s="690"/>
      <c r="E18" s="690"/>
      <c r="F18" s="690"/>
      <c r="G18" s="1174" t="s">
        <v>787</v>
      </c>
      <c r="H18" s="1679"/>
      <c r="I18" s="1680"/>
      <c r="O18" s="322"/>
      <c r="P18" s="322"/>
      <c r="Q18" s="322"/>
      <c r="R18" s="322"/>
      <c r="S18" s="322"/>
      <c r="T18" s="322"/>
      <c r="U18" s="322"/>
    </row>
    <row r="19" spans="2:21" ht="21" customHeight="1">
      <c r="B19" s="690" t="s">
        <v>326</v>
      </c>
      <c r="C19" s="690"/>
      <c r="D19" s="690"/>
      <c r="E19" s="690"/>
      <c r="F19" s="690"/>
      <c r="G19" s="601"/>
      <c r="H19" s="1830" t="s">
        <v>787</v>
      </c>
      <c r="I19" s="1831"/>
      <c r="O19" s="322"/>
      <c r="P19" s="322"/>
      <c r="Q19" s="322"/>
      <c r="R19" s="322"/>
      <c r="S19" s="322"/>
      <c r="T19" s="322"/>
      <c r="U19" s="322"/>
    </row>
    <row r="20" spans="2:21" ht="21" customHeight="1">
      <c r="B20" s="690"/>
      <c r="C20" s="690"/>
      <c r="D20" s="690"/>
      <c r="E20" s="690"/>
      <c r="F20" s="690"/>
      <c r="G20" s="689"/>
      <c r="H20" s="1839"/>
      <c r="I20" s="1840"/>
      <c r="O20" s="322"/>
      <c r="P20" s="322"/>
      <c r="Q20" s="322"/>
      <c r="R20" s="322"/>
      <c r="S20" s="322"/>
      <c r="T20" s="322"/>
      <c r="U20" s="322"/>
    </row>
    <row r="21" spans="2:21" ht="21" customHeight="1">
      <c r="B21" s="690"/>
      <c r="C21" s="690"/>
      <c r="D21" s="690"/>
      <c r="E21" s="690"/>
      <c r="F21" s="690"/>
      <c r="G21" s="689"/>
      <c r="H21" s="1839"/>
      <c r="I21" s="1840"/>
      <c r="O21" s="322"/>
      <c r="P21" s="322"/>
      <c r="Q21" s="322"/>
      <c r="R21" s="322"/>
      <c r="S21" s="322"/>
      <c r="T21" s="322"/>
      <c r="U21" s="322"/>
    </row>
    <row r="22" spans="2:21" ht="21" customHeight="1" thickBot="1">
      <c r="B22" s="690" t="str">
        <f>'KEY INPUTS'!D28</f>
        <v>Outstanding - December 31, 2019</v>
      </c>
      <c r="C22" s="690"/>
      <c r="D22" s="690"/>
      <c r="E22" s="690"/>
      <c r="F22" s="690"/>
      <c r="G22" s="1129">
        <f>+H17+H18-G19-G20-G21+H20+H21</f>
        <v>0</v>
      </c>
      <c r="H22" s="1832" t="s">
        <v>787</v>
      </c>
      <c r="I22" s="1833"/>
      <c r="O22" s="322"/>
      <c r="P22" s="322"/>
      <c r="Q22" s="322"/>
      <c r="R22" s="322"/>
      <c r="S22" s="322"/>
      <c r="T22" s="322"/>
      <c r="U22" s="322"/>
    </row>
    <row r="23" spans="2:21" ht="21" customHeight="1" thickBot="1">
      <c r="B23" s="1114"/>
      <c r="C23" s="1114"/>
      <c r="D23" s="1114"/>
      <c r="E23" s="1114"/>
      <c r="F23" s="1114"/>
      <c r="G23" s="1131">
        <f>SUM(G17:G22)</f>
        <v>0</v>
      </c>
      <c r="H23" s="1837">
        <f>SUM(H17:I22)</f>
        <v>0</v>
      </c>
      <c r="I23" s="1838"/>
    </row>
    <row r="24" spans="2:21" ht="21" customHeight="1" thickTop="1">
      <c r="B24" s="1382" t="str">
        <f>TEXT('KEY INPUTS'!D34+1,"0")&amp;" Bond Maturities - Capital Bonds"</f>
        <v>2020 Bond Maturities - Capital Bonds</v>
      </c>
      <c r="C24" s="1128"/>
      <c r="D24" s="1128"/>
      <c r="E24" s="1128"/>
      <c r="F24" s="1128"/>
      <c r="G24" s="1128"/>
      <c r="H24" s="1128"/>
      <c r="I24" s="1384"/>
      <c r="J24" s="451" t="s">
        <v>482</v>
      </c>
      <c r="K24" s="1714"/>
      <c r="L24" s="1714"/>
    </row>
    <row r="25" spans="2:21" ht="21" customHeight="1" thickBot="1">
      <c r="B25" s="1383" t="str">
        <f>TEXT('KEY INPUTS'!D34+1,"0")&amp;" Interest on Bonds"</f>
        <v>2020 Interest on Bonds</v>
      </c>
      <c r="C25" s="1232"/>
      <c r="D25" s="1232"/>
      <c r="E25" s="1232"/>
      <c r="F25" s="1232"/>
      <c r="G25" s="1257"/>
      <c r="H25" s="488" t="s">
        <v>482</v>
      </c>
      <c r="I25" s="608"/>
      <c r="J25" s="489"/>
      <c r="K25" s="1232"/>
      <c r="L25" s="1383" t="s">
        <v>3406</v>
      </c>
    </row>
    <row r="26" spans="2:21" ht="21" customHeight="1" thickTop="1"/>
    <row r="27" spans="2:21" ht="19.5" customHeight="1" thickBot="1">
      <c r="B27" s="1935" t="str">
        <f>"INTEREST  ON  BONDS  -  "&amp;UPPER('KEY INPUTS'!D53)&amp;"  UTILITY  BUDGET"</f>
        <v>INTEREST  ON  BONDS  -    UTILITY  BUDGET</v>
      </c>
      <c r="C27" s="1935"/>
      <c r="D27" s="1935"/>
      <c r="E27" s="1935"/>
      <c r="F27" s="1935"/>
      <c r="G27" s="1935"/>
      <c r="H27" s="1935"/>
      <c r="I27" s="1935"/>
      <c r="J27" s="1935"/>
      <c r="K27" s="1935"/>
      <c r="L27" s="1935"/>
    </row>
    <row r="28" spans="2:21" ht="21" customHeight="1" thickTop="1">
      <c r="B28" s="497" t="str">
        <f>TEXT('KEY INPUTS'!D34+1,"0")&amp;" Interest on Bonds (*Items)"</f>
        <v>2020 Interest on Bonds (*Items)</v>
      </c>
      <c r="C28" s="457"/>
      <c r="D28" s="457"/>
      <c r="E28" s="457"/>
      <c r="F28" s="457"/>
      <c r="G28" s="457"/>
      <c r="H28" s="457" t="s">
        <v>482</v>
      </c>
      <c r="I28" s="1230">
        <f>+I14+I25</f>
        <v>0</v>
      </c>
      <c r="O28" s="464"/>
      <c r="P28" s="464"/>
      <c r="Q28" s="464"/>
      <c r="R28" s="464"/>
    </row>
    <row r="29" spans="2:21" ht="21" customHeight="1">
      <c r="B29" s="406" t="str">
        <f>"Less: Interest Accrued to "&amp;TEXT('KEY INPUTS'!D29,"mm/dd/yyy")&amp;" (Trial Balance)"</f>
        <v>Less: Interest Accrued to 12/31/2019 (Trial Balance)</v>
      </c>
      <c r="C29" s="402"/>
      <c r="D29" s="402"/>
      <c r="E29" s="402"/>
      <c r="F29" s="402"/>
      <c r="G29" s="402"/>
      <c r="H29" s="402" t="s">
        <v>482</v>
      </c>
      <c r="I29" s="672"/>
      <c r="O29" s="464"/>
      <c r="P29" s="464"/>
      <c r="Q29" s="464"/>
      <c r="R29" s="464"/>
    </row>
    <row r="30" spans="2:21" ht="21" customHeight="1">
      <c r="B30" s="402"/>
      <c r="C30" s="402" t="s">
        <v>421</v>
      </c>
      <c r="D30" s="402"/>
      <c r="E30" s="402"/>
      <c r="F30" s="402"/>
      <c r="G30" s="402"/>
      <c r="H30" s="402" t="s">
        <v>482</v>
      </c>
      <c r="I30" s="1231">
        <f>+I28-I29</f>
        <v>0</v>
      </c>
      <c r="O30" s="464"/>
      <c r="P30" s="464"/>
      <c r="Q30" s="464"/>
      <c r="R30" s="464"/>
    </row>
    <row r="31" spans="2:21" ht="21" customHeight="1">
      <c r="B31" s="406" t="str">
        <f>"Add: Interest to be Accrued as of "&amp;TEXT('KEY INPUTS'!D30,"mm/dd/yyyy")&amp;""</f>
        <v>Add: Interest to be Accrued as of 12/31/2020</v>
      </c>
      <c r="C31" s="402"/>
      <c r="D31" s="402"/>
      <c r="E31" s="402"/>
      <c r="F31" s="402"/>
      <c r="G31" s="402"/>
      <c r="H31" s="402" t="s">
        <v>482</v>
      </c>
      <c r="I31" s="672"/>
      <c r="O31" s="464"/>
      <c r="P31" s="464"/>
      <c r="Q31" s="464"/>
      <c r="R31" s="464"/>
    </row>
    <row r="32" spans="2:21" ht="21" customHeight="1">
      <c r="B32" s="406" t="str">
        <f>"Required Appropriation "&amp;TEXT('KEY INPUTS'!D34+1,"0")</f>
        <v>Required Appropriation 2020</v>
      </c>
      <c r="C32" s="402"/>
      <c r="D32" s="402"/>
      <c r="E32" s="402"/>
      <c r="F32" s="402"/>
      <c r="G32" s="402"/>
      <c r="H32" s="402"/>
      <c r="I32" s="920"/>
      <c r="J32" s="491" t="s">
        <v>482</v>
      </c>
      <c r="K32" s="1824">
        <f>+I30+I31</f>
        <v>0</v>
      </c>
      <c r="L32" s="1825"/>
      <c r="O32" s="464"/>
      <c r="P32" s="464"/>
      <c r="Q32" s="464"/>
      <c r="R32" s="464"/>
    </row>
    <row r="33" spans="2:12" ht="13.5" customHeight="1">
      <c r="B33" s="467"/>
      <c r="C33" s="467"/>
      <c r="D33" s="467"/>
      <c r="E33" s="467"/>
      <c r="F33" s="467"/>
      <c r="G33" s="467"/>
      <c r="H33" s="467"/>
      <c r="I33" s="467"/>
      <c r="J33" s="467"/>
      <c r="K33" s="495"/>
      <c r="L33" s="783"/>
    </row>
    <row r="34" spans="2:12" ht="13.5" customHeight="1">
      <c r="B34" s="467"/>
      <c r="C34" s="467"/>
      <c r="D34" s="467"/>
      <c r="E34" s="467"/>
      <c r="F34" s="467"/>
      <c r="G34" s="467"/>
      <c r="H34" s="467"/>
      <c r="I34" s="467"/>
      <c r="J34" s="467"/>
      <c r="K34" s="495"/>
      <c r="L34" s="783"/>
    </row>
    <row r="35" spans="2:12" ht="21" customHeight="1" thickBot="1">
      <c r="B35" s="1845" t="str">
        <f>"LIST  OF  BONDS  ISSUED  DURING  "&amp;TEXT('KEY INPUTS'!D34,"0")&amp;""</f>
        <v>LIST  OF  BONDS  ISSUED  DURING  2019</v>
      </c>
      <c r="C35" s="1845"/>
      <c r="D35" s="1845"/>
      <c r="E35" s="1845"/>
      <c r="F35" s="1845"/>
      <c r="G35" s="1845"/>
      <c r="H35" s="1845"/>
      <c r="I35" s="1845"/>
      <c r="J35" s="1845"/>
      <c r="K35" s="1845"/>
      <c r="L35" s="1845"/>
    </row>
    <row r="36" spans="2:12" ht="27" customHeight="1" thickTop="1" thickBot="1">
      <c r="B36" s="1776" t="s">
        <v>532</v>
      </c>
      <c r="C36" s="1776"/>
      <c r="D36" s="1776"/>
      <c r="E36" s="1776"/>
      <c r="F36" s="1776"/>
      <c r="G36" s="493" t="str">
        <f>TEXT('KEY INPUTS'!D34,"0")&amp;" Maturity"</f>
        <v>2019 Maturity</v>
      </c>
      <c r="H36" s="1836" t="s">
        <v>109</v>
      </c>
      <c r="I36" s="1777"/>
      <c r="J36" s="1841" t="s">
        <v>107</v>
      </c>
      <c r="K36" s="1842"/>
      <c r="L36" s="786" t="s">
        <v>108</v>
      </c>
    </row>
    <row r="37" spans="2:12" ht="21" customHeight="1" thickTop="1">
      <c r="B37" s="673"/>
      <c r="C37" s="673"/>
      <c r="D37" s="673"/>
      <c r="E37" s="673"/>
      <c r="F37" s="673"/>
      <c r="G37" s="605"/>
      <c r="H37" s="1705"/>
      <c r="I37" s="1706"/>
      <c r="J37" s="1828"/>
      <c r="K37" s="1829"/>
      <c r="L37" s="917"/>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232"/>
      <c r="C41" s="1232"/>
      <c r="D41" s="1232"/>
      <c r="E41" s="1232"/>
      <c r="F41" s="1385"/>
      <c r="G41" s="1131">
        <f>SUM(G37:G40)</f>
        <v>0</v>
      </c>
      <c r="H41" s="1820">
        <f>SUM(H37:I40)</f>
        <v>0</v>
      </c>
      <c r="I41" s="1821"/>
      <c r="J41" s="1386"/>
      <c r="K41" s="1232"/>
      <c r="L41" s="1233"/>
    </row>
    <row r="42" spans="2:12" ht="13.8" thickTop="1">
      <c r="G42" s="782"/>
      <c r="H42" s="782"/>
      <c r="I42" s="782"/>
    </row>
    <row r="50" spans="2:12" ht="13.8">
      <c r="B50" s="1765" t="s">
        <v>3444</v>
      </c>
      <c r="C50" s="1765"/>
      <c r="D50" s="1765"/>
      <c r="E50" s="1765"/>
      <c r="F50" s="1765"/>
      <c r="G50" s="1765"/>
      <c r="H50" s="1765"/>
      <c r="I50" s="1765"/>
      <c r="J50" s="1765"/>
      <c r="K50" s="1765"/>
      <c r="L50" s="1765"/>
    </row>
  </sheetData>
  <sheetProtection password="CAF9" sheet="1" objects="1" scenarios="1"/>
  <customSheetViews>
    <customSheetView guid="{AC653BD0-46E3-42CB-9C76-32121A57B65A}">
      <selection activeCell="G11" sqref="G11"/>
      <pageMargins left="0.25" right="0.25" top="0.5" bottom="0.5" header="0.25" footer="0.25"/>
      <pageSetup paperSize="5" orientation="portrait" r:id="rId1"/>
      <headerFooter alignWithMargins="0"/>
    </customSheetView>
    <customSheetView guid="{B165479B-DC25-403C-9595-F1A88A4AA9A2}">
      <selection activeCell="G11" sqref="G11"/>
      <pageMargins left="0.25" right="0.25" top="0.5" bottom="0.5" header="0.25" footer="0.25"/>
      <pageSetup paperSize="5" orientation="portrait" r:id="rId2"/>
      <headerFooter alignWithMargins="0"/>
    </customSheetView>
    <customSheetView guid="{A64E4C9E-A3DA-4AAA-8607-F524450B9436}">
      <selection activeCell="G11" sqref="G11"/>
      <pageMargins left="0.25" right="0.25" top="0.5" bottom="0.5" header="0.25" footer="0.25"/>
      <pageSetup paperSize="5" orientation="portrait" r:id="rId3"/>
      <headerFooter alignWithMargins="0"/>
    </customSheetView>
    <customSheetView guid="{AB4FBD91-4533-473A-9702-569FF6402073}">
      <selection activeCell="G11" sqref="G11"/>
      <pageMargins left="0.25" right="0.25" top="0.5" bottom="0.5" header="0.25" footer="0.25"/>
      <pageSetup paperSize="5" orientation="portrait" r:id="rId4"/>
      <headerFooter alignWithMargins="0"/>
    </customSheetView>
  </customSheetViews>
  <mergeCells count="37">
    <mergeCell ref="B50:L50"/>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3:M48"/>
  <sheetViews>
    <sheetView zoomScaleNormal="100" workbookViewId="0">
      <selection activeCell="B1" sqref="B1"/>
    </sheetView>
  </sheetViews>
  <sheetFormatPr defaultColWidth="9.109375" defaultRowHeight="13.2"/>
  <cols>
    <col min="1" max="1" width="4.6640625" style="322" customWidth="1"/>
    <col min="2" max="2" width="4.88671875" style="322" customWidth="1"/>
    <col min="3" max="4" width="4.6640625" style="322" customWidth="1"/>
    <col min="5" max="5" width="30.6640625" style="322" customWidth="1"/>
    <col min="6" max="6" width="15.6640625" style="322" customWidth="1"/>
    <col min="7" max="8" width="16.6640625" style="322" customWidth="1"/>
    <col min="9" max="12" width="9.109375" style="322"/>
    <col min="13" max="13" width="10.33203125" style="322" bestFit="1" customWidth="1"/>
    <col min="14" max="16384" width="9.109375" style="322"/>
  </cols>
  <sheetData>
    <row r="3" spans="2:11" ht="22.8">
      <c r="B3" s="1565" t="s">
        <v>543</v>
      </c>
      <c r="C3" s="1565"/>
      <c r="D3" s="1565"/>
      <c r="E3" s="1565"/>
      <c r="F3" s="1565"/>
      <c r="G3" s="1565"/>
      <c r="H3" s="1565"/>
    </row>
    <row r="4" spans="2:11" ht="22.8">
      <c r="B4" s="1565" t="s">
        <v>696</v>
      </c>
      <c r="C4" s="1565"/>
      <c r="D4" s="1565"/>
      <c r="E4" s="1565"/>
      <c r="F4" s="1565"/>
      <c r="G4" s="1565"/>
      <c r="H4" s="1565"/>
    </row>
    <row r="5" spans="2:11" ht="17.399999999999999">
      <c r="B5" s="1566" t="s">
        <v>780</v>
      </c>
      <c r="C5" s="1566"/>
      <c r="D5" s="1566"/>
      <c r="E5" s="1566"/>
      <c r="F5" s="1566"/>
      <c r="G5" s="1566"/>
      <c r="H5" s="1566"/>
    </row>
    <row r="6" spans="2:11" ht="15.6">
      <c r="B6" s="1567" t="str">
        <f>'KEY INPUTS'!D44</f>
        <v>AS  AT  DECEMBER  31, 2019</v>
      </c>
      <c r="C6" s="1568"/>
      <c r="D6" s="1568"/>
      <c r="E6" s="1568"/>
      <c r="F6" s="1568"/>
      <c r="G6" s="1568"/>
      <c r="H6" s="1568"/>
    </row>
    <row r="7" spans="2:11" ht="13.8" thickBot="1">
      <c r="B7" s="853"/>
      <c r="C7" s="853"/>
      <c r="D7" s="853"/>
      <c r="E7" s="853"/>
      <c r="F7" s="853"/>
      <c r="G7" s="853"/>
      <c r="H7" s="853"/>
    </row>
    <row r="8" spans="2:11" ht="36" customHeight="1" thickTop="1" thickBot="1">
      <c r="B8" s="1569" t="s">
        <v>124</v>
      </c>
      <c r="C8" s="1570"/>
      <c r="D8" s="1570"/>
      <c r="E8" s="1570"/>
      <c r="F8" s="1571"/>
      <c r="G8" s="967" t="s">
        <v>125</v>
      </c>
      <c r="H8" s="968" t="s">
        <v>126</v>
      </c>
    </row>
    <row r="9" spans="2:11" ht="21" customHeight="1" thickTop="1">
      <c r="B9" s="854" t="s">
        <v>3531</v>
      </c>
      <c r="C9" s="839"/>
      <c r="D9" s="839"/>
      <c r="E9" s="839"/>
      <c r="F9" s="839"/>
      <c r="G9" s="840">
        <f>+'6.3-Trial Bal-Trust Fnds'!G44</f>
        <v>3157559.72</v>
      </c>
      <c r="H9" s="841">
        <f>+'6.3-Trial Bal-Trust Fnds'!H44</f>
        <v>3157559.72</v>
      </c>
      <c r="I9" s="741"/>
    </row>
    <row r="10" spans="2:11" ht="21" customHeight="1">
      <c r="B10" s="843" t="s">
        <v>3530</v>
      </c>
      <c r="C10" s="640"/>
      <c r="D10" s="640"/>
      <c r="E10" s="640"/>
      <c r="F10" s="640"/>
      <c r="G10" s="842"/>
      <c r="H10" s="663"/>
    </row>
    <row r="11" spans="2:11" ht="21" customHeight="1">
      <c r="B11" s="566"/>
      <c r="C11" s="566"/>
      <c r="D11" s="566"/>
      <c r="E11" s="566"/>
      <c r="F11" s="566"/>
      <c r="G11" s="374"/>
      <c r="H11" s="578"/>
      <c r="I11" s="741"/>
    </row>
    <row r="12" spans="2:11" ht="21" customHeight="1">
      <c r="B12" s="566"/>
      <c r="C12" s="566"/>
      <c r="D12" s="566"/>
      <c r="E12" s="566"/>
      <c r="F12" s="566"/>
      <c r="G12" s="374"/>
      <c r="H12" s="578"/>
    </row>
    <row r="13" spans="2:11" ht="21" customHeight="1">
      <c r="B13" s="566"/>
      <c r="C13" s="566"/>
      <c r="D13" s="566"/>
      <c r="E13" s="566"/>
      <c r="F13" s="566"/>
      <c r="G13" s="374"/>
      <c r="H13" s="578"/>
    </row>
    <row r="14" spans="2:11" ht="21" customHeight="1">
      <c r="B14" s="566"/>
      <c r="C14" s="566"/>
      <c r="D14" s="566"/>
      <c r="E14" s="566"/>
      <c r="F14" s="566"/>
      <c r="G14" s="374"/>
      <c r="H14" s="578"/>
      <c r="K14" s="377"/>
    </row>
    <row r="15" spans="2:11" ht="21" customHeight="1">
      <c r="B15" s="566"/>
      <c r="C15" s="566"/>
      <c r="D15" s="566"/>
      <c r="E15" s="566"/>
      <c r="F15" s="566"/>
      <c r="G15" s="374"/>
      <c r="H15" s="578"/>
    </row>
    <row r="16" spans="2:11" ht="21" customHeight="1">
      <c r="B16" s="566"/>
      <c r="C16" s="566"/>
      <c r="D16" s="566"/>
      <c r="E16" s="566"/>
      <c r="F16" s="566"/>
      <c r="G16" s="374"/>
      <c r="H16" s="578"/>
    </row>
    <row r="17" spans="2:8" ht="21" customHeight="1">
      <c r="B17" s="566"/>
      <c r="C17" s="566"/>
      <c r="D17" s="566"/>
      <c r="E17" s="566"/>
      <c r="F17" s="566"/>
      <c r="G17" s="374"/>
      <c r="H17" s="578"/>
    </row>
    <row r="18" spans="2:8" ht="21" customHeight="1">
      <c r="B18" s="566"/>
      <c r="C18" s="566"/>
      <c r="D18" s="566"/>
      <c r="E18" s="566"/>
      <c r="F18" s="566"/>
      <c r="G18" s="374"/>
      <c r="H18" s="578"/>
    </row>
    <row r="19" spans="2:8" ht="21" customHeight="1">
      <c r="B19" s="566"/>
      <c r="C19" s="566"/>
      <c r="D19" s="566"/>
      <c r="E19" s="566"/>
      <c r="F19" s="566"/>
      <c r="G19" s="374"/>
      <c r="H19" s="578"/>
    </row>
    <row r="20" spans="2:8" ht="21" customHeight="1">
      <c r="B20" s="566"/>
      <c r="C20" s="566"/>
      <c r="D20" s="566"/>
      <c r="E20" s="566"/>
      <c r="F20" s="566"/>
      <c r="G20" s="374"/>
      <c r="H20" s="578"/>
    </row>
    <row r="21" spans="2:8" ht="21" customHeight="1">
      <c r="B21" s="566"/>
      <c r="C21" s="566"/>
      <c r="D21" s="566"/>
      <c r="E21" s="566"/>
      <c r="F21" s="566"/>
      <c r="G21" s="374"/>
      <c r="H21" s="578"/>
    </row>
    <row r="22" spans="2:8" ht="21" customHeight="1">
      <c r="B22" s="566"/>
      <c r="C22" s="566"/>
      <c r="D22" s="566"/>
      <c r="E22" s="566"/>
      <c r="F22" s="566"/>
      <c r="G22" s="374"/>
      <c r="H22" s="578"/>
    </row>
    <row r="23" spans="2:8" ht="21" customHeight="1">
      <c r="B23" s="566"/>
      <c r="C23" s="566"/>
      <c r="D23" s="566"/>
      <c r="E23" s="566"/>
      <c r="F23" s="566"/>
      <c r="G23" s="374"/>
      <c r="H23" s="578"/>
    </row>
    <row r="24" spans="2:8" ht="21" customHeight="1">
      <c r="B24" s="566"/>
      <c r="C24" s="566"/>
      <c r="D24" s="566"/>
      <c r="E24" s="566"/>
      <c r="F24" s="566"/>
      <c r="G24" s="374"/>
      <c r="H24" s="578"/>
    </row>
    <row r="25" spans="2:8" ht="21" customHeight="1">
      <c r="B25" s="566"/>
      <c r="C25" s="566"/>
      <c r="D25" s="566"/>
      <c r="E25" s="566"/>
      <c r="F25" s="566"/>
      <c r="G25" s="374"/>
      <c r="H25" s="578"/>
    </row>
    <row r="26" spans="2:8" ht="21" customHeight="1">
      <c r="B26" s="566"/>
      <c r="C26" s="566"/>
      <c r="D26" s="566"/>
      <c r="E26" s="566"/>
      <c r="F26" s="566"/>
      <c r="G26" s="374"/>
      <c r="H26" s="578"/>
    </row>
    <row r="27" spans="2:8" ht="21" customHeight="1">
      <c r="B27" s="566"/>
      <c r="C27" s="566"/>
      <c r="D27" s="566"/>
      <c r="E27" s="566"/>
      <c r="F27" s="566"/>
      <c r="G27" s="374"/>
      <c r="H27" s="578"/>
    </row>
    <row r="28" spans="2:8" ht="21" customHeight="1">
      <c r="B28" s="566"/>
      <c r="C28" s="566"/>
      <c r="D28" s="566"/>
      <c r="E28" s="566"/>
      <c r="F28" s="566"/>
      <c r="G28" s="374"/>
      <c r="H28" s="578"/>
    </row>
    <row r="29" spans="2:8" ht="21" customHeight="1">
      <c r="B29" s="566"/>
      <c r="C29" s="566"/>
      <c r="D29" s="566"/>
      <c r="E29" s="566"/>
      <c r="F29" s="566"/>
      <c r="G29" s="374"/>
      <c r="H29" s="578"/>
    </row>
    <row r="30" spans="2:8" ht="21" customHeight="1">
      <c r="B30" s="566"/>
      <c r="C30" s="566"/>
      <c r="D30" s="566"/>
      <c r="E30" s="566"/>
      <c r="F30" s="566"/>
      <c r="G30" s="374"/>
      <c r="H30" s="578"/>
    </row>
    <row r="31" spans="2:8" ht="21" customHeight="1">
      <c r="B31" s="566"/>
      <c r="C31" s="566"/>
      <c r="D31" s="566"/>
      <c r="E31" s="566"/>
      <c r="F31" s="566"/>
      <c r="G31" s="374"/>
      <c r="H31" s="578"/>
    </row>
    <row r="32" spans="2:8" ht="21" customHeight="1">
      <c r="B32" s="566"/>
      <c r="C32" s="566"/>
      <c r="D32" s="566"/>
      <c r="E32" s="566"/>
      <c r="F32" s="566"/>
      <c r="G32" s="374"/>
      <c r="H32" s="578"/>
    </row>
    <row r="33" spans="2:13" ht="21" customHeight="1">
      <c r="B33" s="566"/>
      <c r="C33" s="566"/>
      <c r="D33" s="566"/>
      <c r="E33" s="566"/>
      <c r="F33" s="566"/>
      <c r="G33" s="374"/>
      <c r="H33" s="578"/>
      <c r="M33" s="325"/>
    </row>
    <row r="34" spans="2:13" ht="21" customHeight="1">
      <c r="B34" s="566"/>
      <c r="C34" s="566"/>
      <c r="D34" s="566"/>
      <c r="E34" s="566"/>
      <c r="F34" s="566"/>
      <c r="G34" s="374"/>
      <c r="H34" s="578"/>
    </row>
    <row r="35" spans="2:13" ht="21" customHeight="1">
      <c r="B35" s="566"/>
      <c r="C35" s="566"/>
      <c r="D35" s="566"/>
      <c r="E35" s="566"/>
      <c r="F35" s="566"/>
      <c r="G35" s="374"/>
      <c r="H35" s="578"/>
    </row>
    <row r="36" spans="2:13" ht="21" customHeight="1">
      <c r="B36" s="566"/>
      <c r="C36" s="566"/>
      <c r="D36" s="566"/>
      <c r="E36" s="566"/>
      <c r="F36" s="566"/>
      <c r="G36" s="374"/>
      <c r="H36" s="578"/>
    </row>
    <row r="37" spans="2:13" ht="21" customHeight="1">
      <c r="B37" s="566"/>
      <c r="C37" s="566"/>
      <c r="D37" s="566"/>
      <c r="E37" s="566"/>
      <c r="F37" s="566"/>
      <c r="G37" s="374"/>
      <c r="H37" s="578"/>
    </row>
    <row r="38" spans="2:13" ht="21" customHeight="1">
      <c r="B38" s="566"/>
      <c r="C38" s="566"/>
      <c r="D38" s="566"/>
      <c r="E38" s="566"/>
      <c r="F38" s="566"/>
      <c r="G38" s="374"/>
      <c r="H38" s="578"/>
    </row>
    <row r="39" spans="2:13" ht="21" customHeight="1">
      <c r="B39" s="566"/>
      <c r="C39" s="566"/>
      <c r="D39" s="566"/>
      <c r="E39" s="566"/>
      <c r="F39" s="566"/>
      <c r="G39" s="374"/>
      <c r="H39" s="578"/>
    </row>
    <row r="40" spans="2:13" ht="21" customHeight="1">
      <c r="B40" s="566"/>
      <c r="C40" s="566"/>
      <c r="D40" s="566"/>
      <c r="E40" s="566"/>
      <c r="F40" s="566"/>
      <c r="G40" s="374"/>
      <c r="H40" s="578"/>
    </row>
    <row r="41" spans="2:13" ht="21" customHeight="1">
      <c r="B41" s="566"/>
      <c r="C41" s="566"/>
      <c r="D41" s="566"/>
      <c r="E41" s="566"/>
      <c r="F41" s="566"/>
      <c r="G41" s="374"/>
      <c r="H41" s="578"/>
    </row>
    <row r="42" spans="2:13" ht="21" customHeight="1">
      <c r="B42" s="566"/>
      <c r="C42" s="566"/>
      <c r="D42" s="566"/>
      <c r="E42" s="566"/>
      <c r="F42" s="566"/>
      <c r="G42" s="374"/>
      <c r="H42" s="578"/>
    </row>
    <row r="43" spans="2:13" ht="21" customHeight="1">
      <c r="B43" s="566"/>
      <c r="C43" s="566"/>
      <c r="D43" s="566"/>
      <c r="E43" s="566"/>
      <c r="F43" s="566"/>
      <c r="G43" s="374"/>
      <c r="H43" s="578"/>
    </row>
    <row r="44" spans="2:13" ht="21" customHeight="1">
      <c r="B44" s="843" t="s">
        <v>1000</v>
      </c>
      <c r="C44" s="640"/>
      <c r="D44" s="640"/>
      <c r="E44" s="640"/>
      <c r="F44" s="640"/>
      <c r="G44" s="842">
        <f>SUM(G9:G43)</f>
        <v>3157559.72</v>
      </c>
      <c r="H44" s="851">
        <f>SUM(H9:H43)</f>
        <v>3157559.72</v>
      </c>
    </row>
    <row r="45" spans="2:13">
      <c r="B45" s="1511" t="s">
        <v>127</v>
      </c>
      <c r="C45" s="1511"/>
      <c r="D45" s="1511"/>
      <c r="E45" s="1511"/>
      <c r="F45" s="1511"/>
      <c r="G45" s="1511"/>
      <c r="H45" s="1511"/>
    </row>
    <row r="46" spans="2:13">
      <c r="B46" s="963"/>
      <c r="C46" s="963"/>
      <c r="D46" s="963"/>
      <c r="E46" s="963"/>
      <c r="F46" s="963"/>
      <c r="G46" s="963"/>
      <c r="H46" s="963"/>
    </row>
    <row r="48" spans="2:13" ht="13.8">
      <c r="B48" s="1507" t="s">
        <v>3535</v>
      </c>
      <c r="C48" s="1507"/>
      <c r="D48" s="1507"/>
      <c r="E48" s="1507"/>
      <c r="F48" s="1507"/>
      <c r="G48" s="1507"/>
      <c r="H48" s="1507"/>
    </row>
  </sheetData>
  <sheetProtection algorithmName="SHA-512" hashValue="y5qXby7vbpEcT5qjn1i+gadI50kBQ8GKTqmrdY+Dn+Fi1wbq2wcQ4IJ+4KUv0RIVAbRVTON1UMso2YQfZPdeHQ==" saltValue="cnV+IVLDWX+JRmnRuJx+bw==" spinCount="100000" sheet="1" objects="1" scenarios="1"/>
  <customSheetViews>
    <customSheetView guid="{AC653BD0-46E3-42CB-9C76-32121A57B65A}" state="hidden">
      <selection activeCell="B1" sqref="B1"/>
      <pageMargins left="0.25" right="0.25" top="0.5" bottom="0.5" header="0.25" footer="0.25"/>
      <pageSetup paperSize="5" orientation="portrait" r:id="rId1"/>
      <headerFooter alignWithMargins="0"/>
    </customSheetView>
    <customSheetView guid="{B165479B-DC25-403C-9595-F1A88A4AA9A2}" state="hidden">
      <selection activeCell="B1" sqref="B1"/>
      <pageMargins left="0.25" right="0.25" top="0.5" bottom="0.5" header="0.25" footer="0.25"/>
      <pageSetup paperSize="5" orientation="portrait" r:id="rId2"/>
      <headerFooter alignWithMargins="0"/>
    </customSheetView>
    <customSheetView guid="{A64E4C9E-A3DA-4AAA-8607-F524450B9436}" state="hidden">
      <selection activeCell="B1" sqref="B1"/>
      <pageMargins left="0.25" right="0.25" top="0.5" bottom="0.5" header="0.25" footer="0.25"/>
      <pageSetup paperSize="5" orientation="portrait" r:id="rId3"/>
      <headerFooter alignWithMargins="0"/>
    </customSheetView>
    <customSheetView guid="{AB4FBD91-4533-473A-9702-569FF6402073}" state="hidden">
      <selection activeCell="B1" sqref="B1"/>
      <pageMargins left="0.25" right="0.25" top="0.5" bottom="0.5" header="0.25" footer="0.25"/>
      <pageSetup paperSize="5" orientation="portrait" r:id="rId4"/>
      <headerFooter alignWithMargins="0"/>
    </customSheetView>
  </customSheetViews>
  <mergeCells count="7">
    <mergeCell ref="B48:H48"/>
    <mergeCell ref="B3:H3"/>
    <mergeCell ref="B4:H4"/>
    <mergeCell ref="B5:H5"/>
    <mergeCell ref="B6:H6"/>
    <mergeCell ref="B8:F8"/>
    <mergeCell ref="B45:H45"/>
  </mergeCells>
  <pageMargins left="0.25" right="0.25" top="0.5" bottom="0.5" header="0.25" footer="0.25"/>
  <pageSetup paperSize="5" orientation="portrait" r:id="rId5"/>
  <headerFooter alignWithMargins="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89">
    <tabColor theme="3" tint="0.39997558519241921"/>
  </sheetPr>
  <dimension ref="B1: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1" spans="2:21">
      <c r="B1" s="1146"/>
      <c r="C1" s="1146"/>
      <c r="D1" s="1146"/>
      <c r="E1" s="1146"/>
      <c r="F1" s="1146"/>
      <c r="G1" s="1146"/>
      <c r="H1" s="1146"/>
      <c r="I1" s="1146"/>
      <c r="J1" s="1146"/>
      <c r="K1" s="1146"/>
      <c r="L1" s="1146"/>
    </row>
    <row r="2" spans="2:21" ht="20.399999999999999">
      <c r="B2" s="1870" t="s">
        <v>606</v>
      </c>
      <c r="C2" s="1870"/>
      <c r="D2" s="1870"/>
      <c r="E2" s="1870"/>
      <c r="F2" s="1870"/>
      <c r="G2" s="1870"/>
      <c r="H2" s="1870"/>
      <c r="I2" s="1870"/>
      <c r="J2" s="1870"/>
      <c r="K2" s="1870"/>
      <c r="L2" s="1870"/>
    </row>
    <row r="3" spans="2:21" ht="20.399999999999999">
      <c r="B3" s="1788" t="str">
        <f>"AND  "&amp;TEXT('KEY INPUTS'!D34+1,"0")&amp;"  DEBT  SERVICE  FOR  LOANS"</f>
        <v>AND  2020  DEBT  SERVICE  FOR  LOANS</v>
      </c>
      <c r="C3" s="1788"/>
      <c r="D3" s="1788"/>
      <c r="E3" s="1788"/>
      <c r="F3" s="1788"/>
      <c r="G3" s="1788"/>
      <c r="H3" s="1788"/>
      <c r="I3" s="1788"/>
      <c r="J3" s="1788"/>
      <c r="K3" s="1788"/>
      <c r="L3" s="1788"/>
    </row>
    <row r="4" spans="2:21" ht="15.6">
      <c r="B4" s="1761" t="str">
        <f>UPPER('KEY INPUTS'!D$53)&amp;"  UTILITY"&amp;" ________________ LOAN"</f>
        <v xml:space="preserve">  UTILITY ________________ LOAN</v>
      </c>
      <c r="C4" s="1761"/>
      <c r="D4" s="1761"/>
      <c r="E4" s="1761"/>
      <c r="F4" s="1761"/>
      <c r="G4" s="1761"/>
      <c r="H4" s="1761"/>
      <c r="I4" s="1761"/>
      <c r="J4" s="1761"/>
      <c r="K4" s="1761"/>
      <c r="L4" s="1761"/>
    </row>
    <row r="5" spans="2:21" ht="9.75" customHeight="1" thickBot="1">
      <c r="B5" s="1387"/>
      <c r="C5" s="1387"/>
      <c r="D5" s="1387"/>
      <c r="E5" s="1387"/>
      <c r="F5" s="1387"/>
      <c r="G5" s="1387"/>
      <c r="H5" s="1387"/>
      <c r="I5" s="1387"/>
      <c r="J5" s="1387"/>
      <c r="K5" s="1387"/>
      <c r="L5" s="1387"/>
    </row>
    <row r="6" spans="2:21" ht="27.75" customHeight="1" thickTop="1" thickBot="1">
      <c r="B6" s="1388"/>
      <c r="C6" s="1388"/>
      <c r="D6" s="1388"/>
      <c r="E6" s="1388"/>
      <c r="F6" s="1388"/>
      <c r="G6" s="1134" t="s">
        <v>125</v>
      </c>
      <c r="H6" s="1937" t="s">
        <v>126</v>
      </c>
      <c r="I6" s="1786"/>
      <c r="J6" s="1933" t="str">
        <f>'KEY INPUTS'!D34&amp;" Debt
Service"</f>
        <v>2019 Debt
Service</v>
      </c>
      <c r="K6" s="1934"/>
      <c r="L6" s="1934"/>
      <c r="O6" s="322"/>
      <c r="P6" s="322"/>
      <c r="Q6" s="322"/>
      <c r="R6" s="322"/>
      <c r="S6" s="322"/>
      <c r="T6" s="322"/>
      <c r="U6" s="322"/>
    </row>
    <row r="7" spans="2:21" ht="21" customHeight="1" thickTop="1">
      <c r="B7" s="474" t="str">
        <f>'KEY INPUTS'!D27</f>
        <v>Outstanding - January 1, 2019</v>
      </c>
      <c r="C7" s="415"/>
      <c r="D7" s="415"/>
      <c r="E7" s="415"/>
      <c r="F7" s="415"/>
      <c r="G7" s="1088" t="s">
        <v>787</v>
      </c>
      <c r="H7" s="1705"/>
      <c r="I7" s="1706"/>
      <c r="O7" s="322"/>
      <c r="P7" s="322"/>
      <c r="Q7" s="322"/>
      <c r="R7" s="322"/>
      <c r="S7" s="322"/>
      <c r="T7" s="322"/>
      <c r="U7" s="322"/>
    </row>
    <row r="8" spans="2:21" ht="21" customHeight="1">
      <c r="B8" s="402" t="s">
        <v>113</v>
      </c>
      <c r="C8" s="334"/>
      <c r="D8" s="334"/>
      <c r="E8" s="334"/>
      <c r="F8" s="334"/>
      <c r="G8" s="973" t="s">
        <v>787</v>
      </c>
      <c r="H8" s="1679"/>
      <c r="I8" s="1680"/>
      <c r="O8" s="377"/>
      <c r="P8" s="322"/>
      <c r="Q8" s="322"/>
      <c r="R8" s="322"/>
      <c r="S8" s="322"/>
      <c r="T8" s="322"/>
      <c r="U8" s="322"/>
    </row>
    <row r="9" spans="2:21" ht="21" customHeight="1">
      <c r="B9" s="402"/>
      <c r="C9" s="334"/>
      <c r="D9" s="334"/>
      <c r="E9" s="334"/>
      <c r="F9" s="334"/>
      <c r="G9" s="973"/>
      <c r="H9" s="1389"/>
      <c r="I9" s="1390"/>
      <c r="O9" s="322"/>
      <c r="P9" s="322"/>
      <c r="Q9" s="322"/>
      <c r="R9" s="322"/>
      <c r="S9" s="322"/>
      <c r="T9" s="322"/>
      <c r="U9" s="322"/>
    </row>
    <row r="10" spans="2:21" ht="21" customHeight="1">
      <c r="B10" s="402" t="s">
        <v>326</v>
      </c>
      <c r="C10" s="334"/>
      <c r="D10" s="334"/>
      <c r="E10" s="334"/>
      <c r="F10" s="334"/>
      <c r="G10" s="601"/>
      <c r="H10" s="1685" t="s">
        <v>787</v>
      </c>
      <c r="I10" s="1686"/>
      <c r="O10" s="322"/>
      <c r="P10" s="322"/>
      <c r="Q10" s="322"/>
      <c r="R10" s="322"/>
      <c r="S10" s="322"/>
      <c r="T10" s="322"/>
      <c r="U10" s="322"/>
    </row>
    <row r="11" spans="2:21" ht="21" customHeight="1" thickBot="1">
      <c r="B11" s="402" t="str">
        <f>'KEY INPUTS'!D28</f>
        <v>Outstanding - December 31, 2019</v>
      </c>
      <c r="C11" s="334"/>
      <c r="D11" s="334"/>
      <c r="E11" s="334"/>
      <c r="F11" s="334"/>
      <c r="G11" s="1089">
        <f>+H7+H8-G10</f>
        <v>0</v>
      </c>
      <c r="H11" s="1677" t="s">
        <v>787</v>
      </c>
      <c r="I11" s="1678"/>
      <c r="O11" s="322"/>
      <c r="P11" s="322"/>
      <c r="Q11" s="322"/>
      <c r="R11" s="322"/>
      <c r="S11" s="322"/>
      <c r="T11" s="322"/>
      <c r="U11" s="322"/>
    </row>
    <row r="12" spans="2:21" ht="21" customHeight="1" thickBot="1">
      <c r="B12" s="398"/>
      <c r="G12" s="1083">
        <f>SUM(G7:G11)</f>
        <v>0</v>
      </c>
      <c r="H12" s="1683">
        <f>SUM(H7:I11)</f>
        <v>0</v>
      </c>
      <c r="I12" s="1684"/>
      <c r="O12" s="322"/>
      <c r="P12" s="322"/>
      <c r="Q12" s="322"/>
      <c r="R12" s="322"/>
      <c r="S12" s="322"/>
      <c r="T12" s="322"/>
      <c r="U12" s="322"/>
    </row>
    <row r="13" spans="2:21" ht="21" customHeight="1" thickTop="1">
      <c r="B13" s="501" t="str">
        <f>TEXT('KEY INPUTS'!D34+1,"0")&amp;" Loan Maturities"</f>
        <v>2020 Loan Maturities</v>
      </c>
      <c r="C13" s="479"/>
      <c r="D13" s="479"/>
      <c r="E13" s="479"/>
      <c r="F13" s="479"/>
      <c r="G13" s="1391"/>
      <c r="H13" s="1391"/>
      <c r="I13" s="1392"/>
      <c r="J13" s="479" t="s">
        <v>482</v>
      </c>
      <c r="K13" s="1714"/>
      <c r="L13" s="1714"/>
      <c r="O13" s="322"/>
      <c r="P13" s="322"/>
      <c r="Q13" s="322"/>
      <c r="R13" s="322"/>
      <c r="S13" s="322"/>
      <c r="T13" s="322"/>
      <c r="U13" s="322"/>
    </row>
    <row r="14" spans="2:21" ht="21" customHeight="1" thickBot="1">
      <c r="B14" s="498" t="str">
        <f>TEXT('KEY INPUTS'!D34+1,"0")&amp;" Interest on Loans"</f>
        <v>2020 Interest on Loans</v>
      </c>
      <c r="C14" s="413"/>
      <c r="D14" s="413"/>
      <c r="E14" s="413"/>
      <c r="F14" s="413"/>
      <c r="G14" s="514"/>
      <c r="H14" s="413" t="s">
        <v>482</v>
      </c>
      <c r="I14" s="674"/>
      <c r="O14" s="322"/>
      <c r="P14" s="322"/>
      <c r="Q14" s="322"/>
      <c r="R14" s="322"/>
      <c r="S14" s="322"/>
      <c r="T14" s="322"/>
      <c r="U14" s="322"/>
    </row>
    <row r="15" spans="2:21" ht="16.5" customHeight="1" thickTop="1">
      <c r="B15" s="1858"/>
      <c r="C15" s="1858"/>
      <c r="D15" s="1858"/>
      <c r="E15" s="1858"/>
      <c r="F15" s="1858"/>
      <c r="G15" s="1858"/>
      <c r="H15" s="1858"/>
      <c r="I15" s="1859"/>
      <c r="O15" s="322"/>
      <c r="P15" s="322"/>
      <c r="Q15" s="322"/>
      <c r="R15" s="322"/>
      <c r="S15" s="322"/>
      <c r="T15" s="322"/>
      <c r="U15" s="322"/>
    </row>
    <row r="16" spans="2:21" ht="26.25" customHeight="1" thickBot="1">
      <c r="B16" s="1935" t="str">
        <f>UPPER('KEY INPUTS'!D$53)&amp;"  UTILITY"&amp;" ________________ LOAN"</f>
        <v xml:space="preserve">  UTILITY ________________ LOAN</v>
      </c>
      <c r="C16" s="1935"/>
      <c r="D16" s="1935"/>
      <c r="E16" s="1935"/>
      <c r="F16" s="1935"/>
      <c r="G16" s="1935"/>
      <c r="H16" s="1935"/>
      <c r="I16" s="1936"/>
      <c r="O16" s="322"/>
      <c r="P16" s="322"/>
      <c r="Q16" s="322"/>
      <c r="R16" s="322"/>
      <c r="S16" s="322"/>
      <c r="T16" s="322"/>
      <c r="U16" s="322"/>
    </row>
    <row r="17" spans="2:21" ht="21" customHeight="1" thickTop="1">
      <c r="B17" s="1211" t="str">
        <f>'KEY INPUTS'!D27</f>
        <v>Outstanding - January 1, 2019</v>
      </c>
      <c r="C17" s="1158"/>
      <c r="D17" s="1158"/>
      <c r="E17" s="1158"/>
      <c r="F17" s="1158"/>
      <c r="G17" s="1088" t="s">
        <v>787</v>
      </c>
      <c r="H17" s="1705"/>
      <c r="I17" s="1706"/>
      <c r="O17" s="322"/>
      <c r="P17" s="322"/>
      <c r="Q17" s="322"/>
      <c r="R17" s="322"/>
      <c r="S17" s="322"/>
      <c r="T17" s="322"/>
      <c r="U17" s="322"/>
    </row>
    <row r="18" spans="2:21" ht="21" customHeight="1">
      <c r="B18" s="690" t="s">
        <v>113</v>
      </c>
      <c r="C18" s="1139"/>
      <c r="D18" s="1139"/>
      <c r="E18" s="1139"/>
      <c r="F18" s="1139"/>
      <c r="G18" s="973" t="s">
        <v>787</v>
      </c>
      <c r="H18" s="1679"/>
      <c r="I18" s="1680"/>
      <c r="O18" s="322"/>
      <c r="P18" s="322"/>
      <c r="Q18" s="322"/>
      <c r="R18" s="322"/>
      <c r="S18" s="322"/>
      <c r="T18" s="322"/>
      <c r="U18" s="322"/>
    </row>
    <row r="19" spans="2:21" ht="21" customHeight="1">
      <c r="B19" s="690" t="s">
        <v>326</v>
      </c>
      <c r="C19" s="1139"/>
      <c r="D19" s="1139"/>
      <c r="E19" s="1139"/>
      <c r="F19" s="1139"/>
      <c r="G19" s="601"/>
      <c r="H19" s="1685" t="s">
        <v>787</v>
      </c>
      <c r="I19" s="1686"/>
      <c r="O19" s="322"/>
      <c r="P19" s="322"/>
      <c r="Q19" s="322"/>
      <c r="R19" s="322"/>
      <c r="S19" s="322"/>
      <c r="T19" s="322"/>
      <c r="U19" s="322"/>
    </row>
    <row r="20" spans="2:21" ht="21" customHeight="1">
      <c r="B20" s="690"/>
      <c r="C20" s="1139"/>
      <c r="D20" s="1139"/>
      <c r="E20" s="1139"/>
      <c r="F20" s="1139"/>
      <c r="G20" s="1105"/>
      <c r="H20" s="1707"/>
      <c r="I20" s="1708"/>
      <c r="O20" s="322"/>
      <c r="P20" s="322"/>
      <c r="Q20" s="322"/>
      <c r="R20" s="322"/>
      <c r="S20" s="322"/>
      <c r="T20" s="322"/>
      <c r="U20" s="322"/>
    </row>
    <row r="21" spans="2:21" ht="21" customHeight="1">
      <c r="B21" s="690"/>
      <c r="C21" s="1139"/>
      <c r="D21" s="1139"/>
      <c r="E21" s="1139"/>
      <c r="F21" s="1139"/>
      <c r="G21" s="1105"/>
      <c r="H21" s="1707"/>
      <c r="I21" s="1708"/>
      <c r="O21" s="322"/>
      <c r="P21" s="322"/>
      <c r="Q21" s="322"/>
      <c r="R21" s="322"/>
      <c r="S21" s="322"/>
      <c r="T21" s="322"/>
      <c r="U21" s="322"/>
    </row>
    <row r="22" spans="2:21" ht="21" customHeight="1" thickBot="1">
      <c r="B22" s="690" t="str">
        <f>'KEY INPUTS'!D28</f>
        <v>Outstanding - December 31, 2019</v>
      </c>
      <c r="C22" s="1139"/>
      <c r="D22" s="1139"/>
      <c r="E22" s="1139"/>
      <c r="F22" s="1139"/>
      <c r="G22" s="1089">
        <f>+H17+H18-G19-G20-G21+H20+H21</f>
        <v>0</v>
      </c>
      <c r="H22" s="1677" t="s">
        <v>787</v>
      </c>
      <c r="I22" s="1678"/>
      <c r="O22" s="322"/>
      <c r="P22" s="322"/>
      <c r="Q22" s="322"/>
      <c r="R22" s="322"/>
      <c r="S22" s="322"/>
      <c r="T22" s="322"/>
      <c r="U22" s="322"/>
    </row>
    <row r="23" spans="2:21" ht="21" customHeight="1" thickBot="1">
      <c r="B23" s="1114"/>
      <c r="C23" s="1146"/>
      <c r="D23" s="1146"/>
      <c r="E23" s="1146"/>
      <c r="F23" s="1146"/>
      <c r="G23" s="1083">
        <f>SUM(G17:G22)</f>
        <v>0</v>
      </c>
      <c r="H23" s="1683">
        <f>SUM(H17:I22)</f>
        <v>0</v>
      </c>
      <c r="I23" s="1684"/>
    </row>
    <row r="24" spans="2:21" ht="21" customHeight="1" thickTop="1">
      <c r="B24" s="501" t="str">
        <f>TEXT('KEY INPUTS'!D34+1,"0")&amp;" Loan Maturities"</f>
        <v>2020 Loan Maturities</v>
      </c>
      <c r="C24" s="479"/>
      <c r="D24" s="479"/>
      <c r="E24" s="479"/>
      <c r="F24" s="479"/>
      <c r="G24" s="479"/>
      <c r="H24" s="479"/>
      <c r="I24" s="515"/>
      <c r="J24" s="479" t="s">
        <v>482</v>
      </c>
      <c r="K24" s="1714"/>
      <c r="L24" s="1714"/>
    </row>
    <row r="25" spans="2:21" ht="21" customHeight="1" thickBot="1">
      <c r="B25" s="498" t="str">
        <f>TEXT('KEY INPUTS'!D34+1,"0")&amp;" Interest on Loans"</f>
        <v>2020 Interest on Loans</v>
      </c>
      <c r="C25" s="413"/>
      <c r="D25" s="413"/>
      <c r="E25" s="413"/>
      <c r="F25" s="413"/>
      <c r="G25" s="514"/>
      <c r="H25" s="1399" t="s">
        <v>482</v>
      </c>
      <c r="I25" s="608"/>
      <c r="J25" s="505"/>
      <c r="K25" s="413"/>
      <c r="L25" s="413"/>
    </row>
    <row r="26" spans="2:21" ht="21" customHeight="1" thickTop="1"/>
    <row r="27" spans="2:21" ht="19.5" customHeight="1" thickBot="1">
      <c r="B27" s="1935" t="str">
        <f>"INTEREST  ON  LOANS  - "&amp;UPPER('KEY INPUTS'!D53)&amp;"  UTILITY  BUDGET"</f>
        <v>INTEREST  ON  LOANS  -   UTILITY  BUDGET</v>
      </c>
      <c r="C27" s="1935"/>
      <c r="D27" s="1935"/>
      <c r="E27" s="1935"/>
      <c r="F27" s="1935"/>
      <c r="G27" s="1935"/>
      <c r="H27" s="1935"/>
      <c r="I27" s="1935"/>
      <c r="J27" s="1935"/>
      <c r="K27" s="1935"/>
      <c r="L27" s="1935"/>
    </row>
    <row r="28" spans="2:21" ht="21" customHeight="1" thickTop="1">
      <c r="B28" s="1394" t="str">
        <f>TEXT('KEY INPUTS'!D34+1,"0")&amp;" Interest on Loans (*Items)"</f>
        <v>2020 Interest on Loans (*Items)</v>
      </c>
      <c r="C28" s="1170"/>
      <c r="D28" s="1158"/>
      <c r="E28" s="1158"/>
      <c r="F28" s="1158"/>
      <c r="G28" s="1158"/>
      <c r="H28" s="415" t="s">
        <v>482</v>
      </c>
      <c r="I28" s="1393">
        <f>+I25+I14</f>
        <v>0</v>
      </c>
    </row>
    <row r="29" spans="2:21" ht="21" customHeight="1">
      <c r="B29" s="914" t="str">
        <f>"Less: Interest Accrued to "&amp;TEXT('KEY INPUTS'!D29,"mm/dd/yyy")&amp;" (Trial Balance)"</f>
        <v>Less: Interest Accrued to 12/31/2019 (Trial Balance)</v>
      </c>
      <c r="C29" s="690"/>
      <c r="D29" s="1139"/>
      <c r="E29" s="1139"/>
      <c r="F29" s="1139"/>
      <c r="G29" s="1139"/>
      <c r="H29" s="334" t="s">
        <v>482</v>
      </c>
      <c r="I29" s="600"/>
    </row>
    <row r="30" spans="2:21" ht="21" customHeight="1">
      <c r="B30" s="690"/>
      <c r="C30" s="690" t="s">
        <v>421</v>
      </c>
      <c r="D30" s="1139"/>
      <c r="E30" s="1139"/>
      <c r="F30" s="1139"/>
      <c r="G30" s="1139"/>
      <c r="H30" s="334" t="s">
        <v>482</v>
      </c>
      <c r="I30" s="1395">
        <f>+I28-I29</f>
        <v>0</v>
      </c>
    </row>
    <row r="31" spans="2:21" ht="21" customHeight="1">
      <c r="B31" s="914" t="str">
        <f>"Add: Interest to be Accrued as of "&amp;TEXT('KEY INPUTS'!D30,"mm/dd/yyyy")&amp;""</f>
        <v>Add: Interest to be Accrued as of 12/31/2020</v>
      </c>
      <c r="C31" s="690"/>
      <c r="D31" s="1139"/>
      <c r="E31" s="1139"/>
      <c r="F31" s="1139"/>
      <c r="G31" s="1139"/>
      <c r="H31" s="334" t="s">
        <v>482</v>
      </c>
      <c r="I31" s="600"/>
    </row>
    <row r="32" spans="2:21" ht="21" customHeight="1">
      <c r="B32" s="914" t="str">
        <f>"Required Appropriation "&amp;TEXT('KEY INPUTS'!D34+1,"0")</f>
        <v>Required Appropriation 2020</v>
      </c>
      <c r="C32" s="690"/>
      <c r="D32" s="1139"/>
      <c r="E32" s="1139"/>
      <c r="F32" s="1139"/>
      <c r="G32" s="1139"/>
      <c r="H32" s="334"/>
      <c r="I32" s="414"/>
      <c r="J32" s="506" t="s">
        <v>482</v>
      </c>
      <c r="K32" s="1939">
        <f>+I30+I31</f>
        <v>0</v>
      </c>
      <c r="L32" s="1940"/>
    </row>
    <row r="33" spans="2:12" ht="13.5" customHeight="1">
      <c r="B33" s="510"/>
      <c r="C33" s="510"/>
      <c r="D33" s="510"/>
      <c r="E33" s="510"/>
      <c r="F33" s="510"/>
      <c r="G33" s="510"/>
      <c r="H33" s="510"/>
      <c r="I33" s="510"/>
      <c r="J33" s="510"/>
      <c r="K33" s="509"/>
      <c r="L33" s="787"/>
    </row>
    <row r="34" spans="2:12" ht="13.5" customHeight="1">
      <c r="B34" s="510"/>
      <c r="C34" s="510"/>
      <c r="D34" s="510"/>
      <c r="E34" s="510"/>
      <c r="F34" s="510"/>
      <c r="G34" s="510"/>
      <c r="H34" s="510"/>
      <c r="I34" s="510"/>
      <c r="J34" s="510"/>
      <c r="K34" s="509"/>
      <c r="L34" s="787"/>
    </row>
    <row r="35" spans="2:12" ht="21" customHeight="1" thickBot="1">
      <c r="B35" s="1938" t="str">
        <f>"LIST  OF  LOANS  ISSUED  DURING  "&amp;TEXT('KEY INPUTS'!D34,"0")&amp;""</f>
        <v>LIST  OF  LOANS  ISSUED  DURING  2019</v>
      </c>
      <c r="C35" s="1938"/>
      <c r="D35" s="1938"/>
      <c r="E35" s="1938"/>
      <c r="F35" s="1938"/>
      <c r="G35" s="1938"/>
      <c r="H35" s="1938"/>
      <c r="I35" s="1938"/>
      <c r="J35" s="1938"/>
      <c r="K35" s="1938"/>
      <c r="L35" s="1938"/>
    </row>
    <row r="36" spans="2:12" ht="27" customHeight="1" thickTop="1" thickBot="1">
      <c r="B36" s="1785" t="s">
        <v>532</v>
      </c>
      <c r="C36" s="1785"/>
      <c r="D36" s="1785"/>
      <c r="E36" s="1785"/>
      <c r="F36" s="1785"/>
      <c r="G36" s="1397" t="str">
        <f>TEXT('KEY INPUTS'!D34,"0")&amp;" Maturity"</f>
        <v>2019 Maturity</v>
      </c>
      <c r="H36" s="1937" t="s">
        <v>109</v>
      </c>
      <c r="I36" s="1786"/>
      <c r="J36" s="1941" t="s">
        <v>107</v>
      </c>
      <c r="K36" s="1942"/>
      <c r="L36" s="1398"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162"/>
      <c r="C41" s="1162"/>
      <c r="D41" s="1162"/>
      <c r="E41" s="1162"/>
      <c r="F41" s="1163"/>
      <c r="G41" s="1083">
        <f>SUM(G37:G40)</f>
        <v>0</v>
      </c>
      <c r="H41" s="1703">
        <f>SUM(H37:I40)</f>
        <v>0</v>
      </c>
      <c r="I41" s="1704"/>
      <c r="J41" s="1396"/>
      <c r="K41" s="1162"/>
      <c r="L41" s="1156"/>
    </row>
    <row r="42" spans="2:12" ht="13.8" thickTop="1">
      <c r="G42" s="504"/>
      <c r="H42" s="504"/>
      <c r="I42" s="504"/>
    </row>
    <row r="51" spans="2:12" ht="13.8">
      <c r="B51" s="1812" t="s">
        <v>3445</v>
      </c>
      <c r="C51" s="1812"/>
      <c r="D51" s="1812"/>
      <c r="E51" s="1812"/>
      <c r="F51" s="1812"/>
      <c r="G51" s="1812"/>
      <c r="H51" s="1812"/>
      <c r="I51" s="1812"/>
      <c r="J51" s="1812"/>
      <c r="K51" s="1812"/>
      <c r="L51" s="1812"/>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0">
    <tabColor theme="3" tint="0.39997558519241921"/>
  </sheetPr>
  <dimension ref="B2: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2" spans="2:21" ht="20.399999999999999">
      <c r="B2" s="1816" t="s">
        <v>606</v>
      </c>
      <c r="C2" s="1816"/>
      <c r="D2" s="1816"/>
      <c r="E2" s="1816"/>
      <c r="F2" s="1816"/>
      <c r="G2" s="1816"/>
      <c r="H2" s="1816"/>
      <c r="I2" s="1816"/>
      <c r="J2" s="1816"/>
      <c r="K2" s="1816"/>
      <c r="L2" s="1816"/>
    </row>
    <row r="3" spans="2:21" ht="20.399999999999999">
      <c r="B3" s="1849" t="str">
        <f>"AND  "&amp;TEXT('KEY INPUTS'!D34+1,"0")&amp;"  DEBT  SERVICE  FOR  LOANS"</f>
        <v>AND  2020  DEBT  SERVICE  FOR  LOANS</v>
      </c>
      <c r="C3" s="1849"/>
      <c r="D3" s="1849"/>
      <c r="E3" s="1849"/>
      <c r="F3" s="1849"/>
      <c r="G3" s="1849"/>
      <c r="H3" s="1849"/>
      <c r="I3" s="1849"/>
      <c r="J3" s="1849"/>
      <c r="K3" s="1849"/>
      <c r="L3" s="1849"/>
    </row>
    <row r="4" spans="2:21" ht="15.6">
      <c r="B4" s="1761" t="str">
        <f>UPPER('KEY INPUTS'!D$53)&amp;"  UTILITY"&amp;" ________________ LOAN"</f>
        <v xml:space="preserve">  UTILITY ________________ LOAN</v>
      </c>
      <c r="C4" s="1761"/>
      <c r="D4" s="1761"/>
      <c r="E4" s="1761"/>
      <c r="F4" s="1761"/>
      <c r="G4" s="1761"/>
      <c r="H4" s="1761"/>
      <c r="I4" s="1761"/>
      <c r="J4" s="1761"/>
      <c r="K4" s="1761"/>
      <c r="L4" s="1761"/>
    </row>
    <row r="5" spans="2:21" ht="9.75" customHeight="1" thickBot="1">
      <c r="B5" s="807"/>
      <c r="C5" s="807"/>
      <c r="D5" s="807"/>
      <c r="E5" s="807"/>
      <c r="F5" s="807"/>
      <c r="G5" s="807"/>
      <c r="H5" s="807"/>
      <c r="I5" s="807"/>
      <c r="J5" s="807"/>
      <c r="K5" s="807"/>
      <c r="L5" s="807"/>
    </row>
    <row r="6" spans="2:21" ht="27.75" customHeight="1" thickTop="1" thickBot="1">
      <c r="B6" s="516"/>
      <c r="C6" s="516"/>
      <c r="D6" s="516"/>
      <c r="E6" s="516"/>
      <c r="F6" s="516"/>
      <c r="G6" s="410" t="s">
        <v>125</v>
      </c>
      <c r="H6" s="1851" t="s">
        <v>126</v>
      </c>
      <c r="I6" s="1852"/>
      <c r="J6" s="1834" t="str">
        <f>'KEY INPUTS'!D34&amp;" Debt
Service"</f>
        <v>2019 Debt
Service</v>
      </c>
      <c r="K6" s="1835"/>
      <c r="L6" s="1835"/>
      <c r="O6" s="322"/>
      <c r="P6" s="322"/>
      <c r="Q6" s="322"/>
      <c r="R6" s="322"/>
      <c r="S6" s="322"/>
      <c r="T6" s="322"/>
      <c r="U6" s="322"/>
    </row>
    <row r="7" spans="2:21" ht="21" customHeight="1" thickTop="1">
      <c r="B7" s="474" t="str">
        <f>'KEY INPUTS'!D27</f>
        <v>Outstanding - January 1, 2019</v>
      </c>
      <c r="C7" s="415"/>
      <c r="D7" s="415"/>
      <c r="E7" s="415"/>
      <c r="F7" s="415"/>
      <c r="G7" s="145" t="s">
        <v>787</v>
      </c>
      <c r="H7" s="1705"/>
      <c r="I7" s="1706"/>
      <c r="O7" s="322"/>
      <c r="P7" s="322"/>
      <c r="Q7" s="322"/>
      <c r="R7" s="322"/>
      <c r="S7" s="322"/>
      <c r="T7" s="322"/>
      <c r="U7" s="322"/>
    </row>
    <row r="8" spans="2:21" ht="21" customHeight="1">
      <c r="B8" s="402" t="s">
        <v>113</v>
      </c>
      <c r="C8" s="334"/>
      <c r="D8" s="334"/>
      <c r="E8" s="334"/>
      <c r="F8" s="334"/>
      <c r="G8" s="146" t="s">
        <v>787</v>
      </c>
      <c r="H8" s="1679"/>
      <c r="I8" s="1680"/>
      <c r="O8" s="377"/>
      <c r="P8" s="322"/>
      <c r="Q8" s="322"/>
      <c r="R8" s="322"/>
      <c r="S8" s="322"/>
      <c r="T8" s="322"/>
      <c r="U8" s="322"/>
    </row>
    <row r="9" spans="2:21" ht="21" customHeight="1">
      <c r="B9" s="402"/>
      <c r="C9" s="334"/>
      <c r="D9" s="334"/>
      <c r="E9" s="334"/>
      <c r="F9" s="334"/>
      <c r="G9" s="146"/>
      <c r="H9" s="1001"/>
      <c r="I9" s="1002"/>
      <c r="O9" s="322"/>
      <c r="P9" s="322"/>
      <c r="Q9" s="322"/>
      <c r="R9" s="322"/>
      <c r="S9" s="322"/>
      <c r="T9" s="322"/>
      <c r="U9" s="322"/>
    </row>
    <row r="10" spans="2:21" ht="21" customHeight="1">
      <c r="B10" s="402" t="s">
        <v>326</v>
      </c>
      <c r="C10" s="334"/>
      <c r="D10" s="334"/>
      <c r="E10" s="334"/>
      <c r="F10" s="334"/>
      <c r="G10" s="601"/>
      <c r="H10" s="1661" t="s">
        <v>787</v>
      </c>
      <c r="I10" s="1662"/>
      <c r="O10" s="322"/>
      <c r="P10" s="322"/>
      <c r="Q10" s="322"/>
      <c r="R10" s="322"/>
      <c r="S10" s="322"/>
      <c r="T10" s="322"/>
      <c r="U10" s="322"/>
    </row>
    <row r="11" spans="2:21" ht="21" customHeight="1" thickBot="1">
      <c r="B11" s="402" t="str">
        <f>'KEY INPUTS'!D28</f>
        <v>Outstanding - December 31, 2019</v>
      </c>
      <c r="C11" s="334"/>
      <c r="D11" s="334"/>
      <c r="E11" s="334"/>
      <c r="F11" s="334"/>
      <c r="G11" s="141">
        <f>+H7+H8-G10</f>
        <v>0</v>
      </c>
      <c r="H11" s="1663" t="s">
        <v>787</v>
      </c>
      <c r="I11" s="1664"/>
      <c r="O11" s="322"/>
      <c r="P11" s="322"/>
      <c r="Q11" s="322"/>
      <c r="R11" s="322"/>
      <c r="S11" s="322"/>
      <c r="T11" s="322"/>
      <c r="U11" s="322"/>
    </row>
    <row r="12" spans="2:21" ht="21" customHeight="1" thickBot="1">
      <c r="B12" s="398"/>
      <c r="G12" s="137">
        <f>SUM(G7:G11)</f>
        <v>0</v>
      </c>
      <c r="H12" s="1710">
        <f>SUM(H7:I11)</f>
        <v>0</v>
      </c>
      <c r="I12" s="1711"/>
      <c r="O12" s="322"/>
      <c r="P12" s="322"/>
      <c r="Q12" s="322"/>
      <c r="R12" s="322"/>
      <c r="S12" s="322"/>
      <c r="T12" s="322"/>
      <c r="U12" s="322"/>
    </row>
    <row r="13" spans="2:21" ht="21" customHeight="1" thickTop="1">
      <c r="B13" s="501" t="str">
        <f>TEXT('KEY INPUTS'!D34+1,"0")&amp;" Loan Maturities"</f>
        <v>2020 Loan Maturities</v>
      </c>
      <c r="C13" s="479"/>
      <c r="D13" s="479"/>
      <c r="E13" s="479"/>
      <c r="F13" s="479"/>
      <c r="G13" s="479"/>
      <c r="H13" s="479"/>
      <c r="I13" s="515"/>
      <c r="J13" s="479" t="s">
        <v>482</v>
      </c>
      <c r="K13" s="1714"/>
      <c r="L13" s="1714"/>
      <c r="O13" s="322"/>
      <c r="P13" s="322"/>
      <c r="Q13" s="322"/>
      <c r="R13" s="322"/>
      <c r="S13" s="322"/>
      <c r="T13" s="322"/>
      <c r="U13" s="322"/>
    </row>
    <row r="14" spans="2:21" ht="21" customHeight="1" thickBot="1">
      <c r="B14" s="498" t="str">
        <f>TEXT('KEY INPUTS'!D34+1,"0")&amp;" Interest on Loans"</f>
        <v>2020 Interest on Loans</v>
      </c>
      <c r="C14" s="413"/>
      <c r="D14" s="413"/>
      <c r="E14" s="413"/>
      <c r="F14" s="413"/>
      <c r="G14" s="514"/>
      <c r="H14" s="413" t="s">
        <v>482</v>
      </c>
      <c r="I14" s="674"/>
      <c r="O14" s="322"/>
      <c r="P14" s="322"/>
      <c r="Q14" s="322"/>
      <c r="R14" s="322"/>
      <c r="S14" s="322"/>
      <c r="T14" s="322"/>
      <c r="U14" s="322"/>
    </row>
    <row r="15" spans="2:21" ht="16.5" customHeight="1" thickTop="1">
      <c r="B15" s="1858"/>
      <c r="C15" s="1858"/>
      <c r="D15" s="1858"/>
      <c r="E15" s="1858"/>
      <c r="F15" s="1858"/>
      <c r="G15" s="1858"/>
      <c r="H15" s="1858"/>
      <c r="I15" s="1859"/>
      <c r="O15" s="322"/>
      <c r="P15" s="322"/>
      <c r="Q15" s="322"/>
      <c r="R15" s="322"/>
      <c r="S15" s="322"/>
      <c r="T15" s="322"/>
      <c r="U15" s="322"/>
    </row>
    <row r="16" spans="2:21" ht="26.25" customHeight="1" thickBot="1">
      <c r="B16" s="1935" t="str">
        <f>UPPER('KEY INPUTS'!D$53)&amp;"  UTILITY"&amp;" ________________ LOAN"</f>
        <v xml:space="preserve">  UTILITY ________________ LOAN</v>
      </c>
      <c r="C16" s="1935"/>
      <c r="D16" s="1935"/>
      <c r="E16" s="1935"/>
      <c r="F16" s="1935"/>
      <c r="G16" s="1935"/>
      <c r="H16" s="1935"/>
      <c r="I16" s="1936"/>
      <c r="O16" s="322"/>
      <c r="P16" s="322"/>
      <c r="Q16" s="322"/>
      <c r="R16" s="322"/>
      <c r="S16" s="322"/>
      <c r="T16" s="322"/>
      <c r="U16" s="322"/>
    </row>
    <row r="17" spans="2:21" ht="21" customHeight="1" thickTop="1">
      <c r="B17" s="474" t="str">
        <f>'KEY INPUTS'!D27</f>
        <v>Outstanding - January 1, 2019</v>
      </c>
      <c r="C17" s="415"/>
      <c r="D17" s="415"/>
      <c r="E17" s="415"/>
      <c r="F17" s="415"/>
      <c r="G17" s="145" t="s">
        <v>787</v>
      </c>
      <c r="H17" s="1705"/>
      <c r="I17" s="1706"/>
      <c r="O17" s="322"/>
      <c r="P17" s="322"/>
      <c r="Q17" s="322"/>
      <c r="R17" s="322"/>
      <c r="S17" s="322"/>
      <c r="T17" s="322"/>
      <c r="U17" s="322"/>
    </row>
    <row r="18" spans="2:21" ht="21" customHeight="1">
      <c r="B18" s="402" t="s">
        <v>113</v>
      </c>
      <c r="C18" s="334"/>
      <c r="D18" s="334"/>
      <c r="E18" s="334"/>
      <c r="F18" s="334"/>
      <c r="G18" s="146" t="s">
        <v>787</v>
      </c>
      <c r="H18" s="1679"/>
      <c r="I18" s="1680"/>
      <c r="O18" s="322"/>
      <c r="P18" s="322"/>
      <c r="Q18" s="322"/>
      <c r="R18" s="322"/>
      <c r="S18" s="322"/>
      <c r="T18" s="322"/>
      <c r="U18" s="322"/>
    </row>
    <row r="19" spans="2:21" ht="21" customHeight="1">
      <c r="B19" s="402" t="s">
        <v>326</v>
      </c>
      <c r="C19" s="334"/>
      <c r="D19" s="334"/>
      <c r="E19" s="334"/>
      <c r="F19" s="334"/>
      <c r="G19" s="601"/>
      <c r="H19" s="1661" t="s">
        <v>787</v>
      </c>
      <c r="I19" s="1662"/>
      <c r="O19" s="322"/>
      <c r="P19" s="322"/>
      <c r="Q19" s="322"/>
      <c r="R19" s="322"/>
      <c r="S19" s="322"/>
      <c r="T19" s="322"/>
      <c r="U19" s="322"/>
    </row>
    <row r="20" spans="2:21" ht="21" customHeight="1">
      <c r="B20" s="402"/>
      <c r="C20" s="334"/>
      <c r="D20" s="334"/>
      <c r="E20" s="334"/>
      <c r="F20" s="334"/>
      <c r="G20" s="120"/>
      <c r="H20" s="1854"/>
      <c r="I20" s="1855"/>
      <c r="O20" s="322"/>
      <c r="P20" s="322"/>
      <c r="Q20" s="322"/>
      <c r="R20" s="322"/>
      <c r="S20" s="322"/>
      <c r="T20" s="322"/>
      <c r="U20" s="322"/>
    </row>
    <row r="21" spans="2:21" ht="21" customHeight="1">
      <c r="B21" s="402"/>
      <c r="C21" s="334"/>
      <c r="D21" s="334"/>
      <c r="E21" s="334"/>
      <c r="F21" s="334"/>
      <c r="G21" s="120"/>
      <c r="H21" s="1854"/>
      <c r="I21" s="1855"/>
      <c r="O21" s="322"/>
      <c r="P21" s="322"/>
      <c r="Q21" s="322"/>
      <c r="R21" s="322"/>
      <c r="S21" s="322"/>
      <c r="T21" s="322"/>
      <c r="U21" s="322"/>
    </row>
    <row r="22" spans="2:21" ht="21" customHeight="1" thickBot="1">
      <c r="B22" s="402" t="str">
        <f>'KEY INPUTS'!D28</f>
        <v>Outstanding - December 31, 2019</v>
      </c>
      <c r="C22" s="334"/>
      <c r="D22" s="334"/>
      <c r="E22" s="334"/>
      <c r="F22" s="334"/>
      <c r="G22" s="141">
        <f>+H17+H18-G19-G20-G21+H20+H21</f>
        <v>0</v>
      </c>
      <c r="H22" s="1663" t="s">
        <v>787</v>
      </c>
      <c r="I22" s="1664"/>
      <c r="O22" s="322"/>
      <c r="P22" s="322"/>
      <c r="Q22" s="322"/>
      <c r="R22" s="322"/>
      <c r="S22" s="322"/>
      <c r="T22" s="322"/>
      <c r="U22" s="322"/>
    </row>
    <row r="23" spans="2:21" ht="21" customHeight="1" thickBot="1">
      <c r="B23" s="398"/>
      <c r="G23" s="137">
        <f>SUM(G17:G22)</f>
        <v>0</v>
      </c>
      <c r="H23" s="1710">
        <f>SUM(H17:I22)</f>
        <v>0</v>
      </c>
      <c r="I23" s="1711"/>
    </row>
    <row r="24" spans="2:21" ht="21" customHeight="1" thickTop="1">
      <c r="B24" s="501" t="str">
        <f>TEXT('KEY INPUTS'!D34+1,"0")&amp;" Loan Maturities"</f>
        <v>2020 Loan Maturities</v>
      </c>
      <c r="C24" s="479"/>
      <c r="D24" s="479"/>
      <c r="E24" s="479"/>
      <c r="F24" s="479"/>
      <c r="G24" s="479"/>
      <c r="H24" s="479"/>
      <c r="I24" s="515"/>
      <c r="J24" s="479" t="s">
        <v>482</v>
      </c>
      <c r="K24" s="1714"/>
      <c r="L24" s="1714"/>
    </row>
    <row r="25" spans="2:21" ht="21" customHeight="1" thickBot="1">
      <c r="B25" s="498" t="str">
        <f>TEXT('KEY INPUTS'!D34+1,"0")&amp;" Interest on Loans"</f>
        <v>2020 Interest on Loans</v>
      </c>
      <c r="C25" s="413"/>
      <c r="D25" s="413"/>
      <c r="E25" s="413"/>
      <c r="F25" s="413"/>
      <c r="G25" s="514"/>
      <c r="H25" s="413" t="s">
        <v>482</v>
      </c>
      <c r="I25" s="608"/>
      <c r="J25" s="505"/>
      <c r="K25" s="413"/>
      <c r="L25" s="413"/>
    </row>
    <row r="26" spans="2:21" ht="21" customHeight="1" thickTop="1"/>
    <row r="27" spans="2:21" ht="19.5" customHeight="1" thickBot="1">
      <c r="B27" s="1935" t="str">
        <f>"INTEREST  ON  LOANS  - "&amp;UPPER('KEY INPUTS'!D53)&amp;"  UTILITY  BUDGET"</f>
        <v>INTEREST  ON  LOANS  -   UTILITY  BUDGET</v>
      </c>
      <c r="C27" s="1935"/>
      <c r="D27" s="1935"/>
      <c r="E27" s="1935"/>
      <c r="F27" s="1935"/>
      <c r="G27" s="1935"/>
      <c r="H27" s="1935"/>
      <c r="I27" s="1935"/>
      <c r="J27" s="1935"/>
      <c r="K27" s="1935"/>
      <c r="L27" s="1935"/>
    </row>
    <row r="28" spans="2:21" ht="21" customHeight="1" thickTop="1">
      <c r="B28" s="497" t="str">
        <f>TEXT('KEY INPUTS'!D34+1,"0")&amp;" Interest on Loans (*Items)"</f>
        <v>2020 Interest on Loans (*Items)</v>
      </c>
      <c r="C28" s="457"/>
      <c r="D28" s="415"/>
      <c r="E28" s="415"/>
      <c r="F28" s="415"/>
      <c r="G28" s="415"/>
      <c r="H28" s="415" t="s">
        <v>482</v>
      </c>
      <c r="I28" s="513">
        <f>+I25+I14</f>
        <v>0</v>
      </c>
    </row>
    <row r="29" spans="2:21" ht="21" customHeight="1">
      <c r="B29" s="406" t="str">
        <f>"Less: Interest Accrued to "&amp;TEXT('KEY INPUTS'!D29,"mm/dd/yyy")&amp;" (Trial Balance)"</f>
        <v>Less: Interest Accrued to 12/31/2019 (Trial Balance)</v>
      </c>
      <c r="C29" s="402"/>
      <c r="D29" s="334"/>
      <c r="E29" s="334"/>
      <c r="F29" s="334"/>
      <c r="G29" s="334"/>
      <c r="H29" s="334" t="s">
        <v>482</v>
      </c>
      <c r="I29" s="600"/>
    </row>
    <row r="30" spans="2:21" ht="21" customHeight="1">
      <c r="B30" s="402"/>
      <c r="C30" s="402" t="s">
        <v>421</v>
      </c>
      <c r="D30" s="334"/>
      <c r="E30" s="334"/>
      <c r="F30" s="334"/>
      <c r="G30" s="334"/>
      <c r="H30" s="334" t="s">
        <v>482</v>
      </c>
      <c r="I30" s="512">
        <f>+I28-I29</f>
        <v>0</v>
      </c>
    </row>
    <row r="31" spans="2:21" ht="21" customHeight="1">
      <c r="B31" s="406" t="str">
        <f>"Add: Interest to be Accrued as of "&amp;TEXT('KEY INPUTS'!D30,"mm/dd/yyyy")&amp;""</f>
        <v>Add: Interest to be Accrued as of 12/31/2020</v>
      </c>
      <c r="C31" s="402"/>
      <c r="D31" s="334"/>
      <c r="E31" s="334"/>
      <c r="F31" s="334"/>
      <c r="G31" s="334"/>
      <c r="H31" s="334" t="s">
        <v>482</v>
      </c>
      <c r="I31" s="600"/>
    </row>
    <row r="32" spans="2:21" ht="21" customHeight="1">
      <c r="B32" s="406" t="str">
        <f>"Required Appropriation "&amp;TEXT('KEY INPUTS'!D34+1,"0")</f>
        <v>Required Appropriation 2020</v>
      </c>
      <c r="C32" s="402"/>
      <c r="D32" s="334"/>
      <c r="E32" s="334"/>
      <c r="F32" s="334"/>
      <c r="G32" s="334"/>
      <c r="H32" s="334"/>
      <c r="I32" s="909"/>
      <c r="J32" s="506" t="s">
        <v>482</v>
      </c>
      <c r="K32" s="1846">
        <f>+I30+I31</f>
        <v>0</v>
      </c>
      <c r="L32" s="1847"/>
    </row>
    <row r="33" spans="2:12" ht="13.5" customHeight="1">
      <c r="B33" s="510"/>
      <c r="C33" s="510"/>
      <c r="D33" s="510"/>
      <c r="E33" s="510"/>
      <c r="F33" s="510"/>
      <c r="G33" s="510"/>
      <c r="H33" s="510"/>
      <c r="I33" s="510"/>
      <c r="J33" s="510"/>
      <c r="K33" s="509"/>
      <c r="L33" s="1011"/>
    </row>
    <row r="34" spans="2:12" ht="13.5" customHeight="1">
      <c r="B34" s="510"/>
      <c r="C34" s="510"/>
      <c r="D34" s="510"/>
      <c r="E34" s="510"/>
      <c r="F34" s="510"/>
      <c r="G34" s="510"/>
      <c r="H34" s="510"/>
      <c r="I34" s="510"/>
      <c r="J34" s="510"/>
      <c r="K34" s="509"/>
      <c r="L34" s="1011"/>
    </row>
    <row r="35" spans="2:12" ht="21" customHeight="1" thickBot="1">
      <c r="B35" s="1845" t="str">
        <f>"LIST  OF  LOANS  ISSUED  DURING  "&amp;TEXT('KEY INPUTS'!D34,"0")&amp;""</f>
        <v>LIST  OF  LOANS  ISSUED  DURING  2019</v>
      </c>
      <c r="C35" s="1845"/>
      <c r="D35" s="1845"/>
      <c r="E35" s="1845"/>
      <c r="F35" s="1845"/>
      <c r="G35" s="1845"/>
      <c r="H35" s="1845"/>
      <c r="I35" s="1845"/>
      <c r="J35" s="1845"/>
      <c r="K35" s="1845"/>
      <c r="L35" s="1845"/>
    </row>
    <row r="36" spans="2:12" ht="27" customHeight="1" thickTop="1" thickBot="1">
      <c r="B36" s="1853" t="s">
        <v>532</v>
      </c>
      <c r="C36" s="1853"/>
      <c r="D36" s="1853"/>
      <c r="E36" s="1853"/>
      <c r="F36" s="1853"/>
      <c r="G36" s="493" t="str">
        <f>TEXT('KEY INPUTS'!D34,"0")&amp;" Maturity"</f>
        <v>2019 Maturity</v>
      </c>
      <c r="H36" s="1851" t="s">
        <v>109</v>
      </c>
      <c r="I36" s="1852"/>
      <c r="J36" s="1856" t="s">
        <v>107</v>
      </c>
      <c r="K36" s="1857"/>
      <c r="L36" s="1010"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413"/>
      <c r="C41" s="413"/>
      <c r="D41" s="413"/>
      <c r="E41" s="413"/>
      <c r="F41" s="412"/>
      <c r="G41" s="137">
        <f>SUM(G37:G40)</f>
        <v>0</v>
      </c>
      <c r="H41" s="1715">
        <f>SUM(H37:I40)</f>
        <v>0</v>
      </c>
      <c r="I41" s="1716"/>
      <c r="J41" s="505"/>
      <c r="K41" s="413"/>
      <c r="L41" s="417"/>
    </row>
    <row r="42" spans="2:12" ht="13.8" thickTop="1">
      <c r="G42" s="504"/>
      <c r="H42" s="504"/>
      <c r="I42" s="504"/>
    </row>
    <row r="51" spans="2:12" ht="13.8">
      <c r="B51" s="1812" t="s">
        <v>3650</v>
      </c>
      <c r="C51" s="1812"/>
      <c r="D51" s="1812"/>
      <c r="E51" s="1812"/>
      <c r="F51" s="1812"/>
      <c r="G51" s="1812"/>
      <c r="H51" s="1812"/>
      <c r="I51" s="1812"/>
      <c r="J51" s="1812"/>
      <c r="K51" s="1812"/>
      <c r="L51" s="1812"/>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1">
    <tabColor theme="3" tint="0.39997558519241921"/>
  </sheetPr>
  <dimension ref="A1:V30"/>
  <sheetViews>
    <sheetView zoomScaleNormal="100" zoomScaleSheetLayoutView="80" workbookViewId="0">
      <selection activeCell="M26" sqref="M26"/>
    </sheetView>
  </sheetViews>
  <sheetFormatPr defaultColWidth="8.88671875" defaultRowHeight="13.2"/>
  <cols>
    <col min="1" max="1" width="5.6640625" style="398" customWidth="1"/>
    <col min="2" max="3" width="4.88671875" style="398" customWidth="1"/>
    <col min="4" max="4" width="30.44140625" style="398" customWidth="1"/>
    <col min="5" max="11" width="15.6640625" style="398" customWidth="1"/>
    <col min="12" max="12" width="1.6640625" style="398" customWidth="1"/>
    <col min="13" max="13" width="12.6640625" style="398" customWidth="1"/>
    <col min="14" max="16384" width="8.88671875" style="398"/>
  </cols>
  <sheetData>
    <row r="1" spans="1:22">
      <c r="B1" s="1114"/>
      <c r="C1" s="1114"/>
      <c r="D1" s="1114"/>
      <c r="E1" s="1114"/>
      <c r="F1" s="1114"/>
      <c r="G1" s="1114"/>
      <c r="H1" s="1114"/>
      <c r="I1" s="1114"/>
      <c r="J1" s="1114"/>
      <c r="K1" s="1114"/>
      <c r="L1" s="1114"/>
      <c r="M1" s="1114"/>
    </row>
    <row r="2" spans="1:22" ht="20.399999999999999">
      <c r="B2" s="1788" t="str">
        <f>"DEBT  SERVICE  FOR  "&amp;UPPER('KEY INPUTS'!D53)&amp;"  UTILITY  NOTES  (OTHER  THAN  UTILITY  ASSESSMENT  NOTES)"</f>
        <v>DEBT  SERVICE  FOR    UTILITY  NOTES  (OTHER  THAN  UTILITY  ASSESSMENT  NOTES)</v>
      </c>
      <c r="C2" s="1788"/>
      <c r="D2" s="1788"/>
      <c r="E2" s="1788"/>
      <c r="F2" s="1788"/>
      <c r="G2" s="1788"/>
      <c r="H2" s="1788"/>
      <c r="I2" s="1788"/>
      <c r="J2" s="1788"/>
      <c r="K2" s="1788"/>
      <c r="L2" s="1788"/>
      <c r="M2" s="1788"/>
    </row>
    <row r="3" spans="1:22" ht="21" thickBot="1">
      <c r="B3" s="1788"/>
      <c r="C3" s="1788"/>
      <c r="D3" s="1788"/>
      <c r="E3" s="1788"/>
      <c r="F3" s="1788"/>
      <c r="G3" s="1788"/>
      <c r="H3" s="1788"/>
      <c r="I3" s="1788"/>
      <c r="J3" s="1788"/>
      <c r="K3" s="1788"/>
      <c r="L3" s="1788"/>
      <c r="M3" s="1788"/>
    </row>
    <row r="4" spans="1:22" ht="13.5" customHeight="1" thickTop="1">
      <c r="B4" s="1237"/>
      <c r="C4" s="1237"/>
      <c r="D4" s="1237"/>
      <c r="E4" s="1238"/>
      <c r="F4" s="1238"/>
      <c r="G4" s="1238"/>
      <c r="H4" s="1238"/>
      <c r="I4" s="1238"/>
      <c r="J4" s="1237"/>
      <c r="K4" s="1239"/>
      <c r="L4" s="1237"/>
      <c r="M4" s="1240"/>
    </row>
    <row r="5" spans="1:22" ht="13.5" customHeight="1">
      <c r="B5" s="1114"/>
      <c r="C5" s="1114"/>
      <c r="D5" s="1114"/>
      <c r="E5" s="1241" t="s">
        <v>176</v>
      </c>
      <c r="F5" s="1242" t="s">
        <v>176</v>
      </c>
      <c r="G5" s="1242" t="s">
        <v>533</v>
      </c>
      <c r="H5" s="1242" t="s">
        <v>18</v>
      </c>
      <c r="I5" s="1242" t="s">
        <v>684</v>
      </c>
      <c r="J5" s="1866">
        <f>'KEY INPUTS'!D33</f>
        <v>2020</v>
      </c>
      <c r="K5" s="1867"/>
      <c r="L5" s="1243"/>
      <c r="M5" s="1244" t="s">
        <v>685</v>
      </c>
    </row>
    <row r="6" spans="1:22" ht="13.5" customHeight="1">
      <c r="B6" s="1114"/>
      <c r="C6" s="1864" t="s">
        <v>175</v>
      </c>
      <c r="D6" s="1865"/>
      <c r="E6" s="1241" t="s">
        <v>533</v>
      </c>
      <c r="F6" s="1242" t="s">
        <v>177</v>
      </c>
      <c r="G6" s="1242" t="s">
        <v>681</v>
      </c>
      <c r="H6" s="1242" t="s">
        <v>682</v>
      </c>
      <c r="I6" s="1242" t="s">
        <v>682</v>
      </c>
      <c r="J6" s="1868"/>
      <c r="K6" s="1869"/>
      <c r="L6" s="1245"/>
      <c r="M6" s="1244" t="s">
        <v>688</v>
      </c>
    </row>
    <row r="7" spans="1:22" ht="13.5" customHeight="1">
      <c r="B7" s="1114"/>
      <c r="C7" s="1114"/>
      <c r="D7" s="1114"/>
      <c r="E7" s="1241" t="s">
        <v>113</v>
      </c>
      <c r="F7" s="1241" t="s">
        <v>178</v>
      </c>
      <c r="G7" s="1241" t="s">
        <v>257</v>
      </c>
      <c r="H7" s="1241" t="s">
        <v>683</v>
      </c>
      <c r="I7" s="1241" t="s">
        <v>685</v>
      </c>
      <c r="J7" s="1241" t="s">
        <v>142</v>
      </c>
      <c r="K7" s="1241" t="s">
        <v>686</v>
      </c>
      <c r="L7" s="1242"/>
      <c r="M7" s="1244" t="s">
        <v>689</v>
      </c>
    </row>
    <row r="8" spans="1:22" ht="13.5" customHeight="1" thickBot="1">
      <c r="B8" s="1169"/>
      <c r="C8" s="1169"/>
      <c r="D8" s="1169"/>
      <c r="E8" s="1246"/>
      <c r="F8" s="1246"/>
      <c r="G8" s="1247" t="str">
        <f>'KEY INPUTS'!D46</f>
        <v>Dec. 31, 2019</v>
      </c>
      <c r="H8" s="1246"/>
      <c r="I8" s="1246"/>
      <c r="J8" s="1248"/>
      <c r="K8" s="1249"/>
      <c r="L8" s="1250"/>
      <c r="M8" s="1251"/>
      <c r="P8" s="322"/>
      <c r="Q8" s="322"/>
      <c r="R8" s="322"/>
      <c r="S8" s="322"/>
      <c r="T8" s="322"/>
      <c r="U8" s="322"/>
      <c r="V8" s="322"/>
    </row>
    <row r="9" spans="1:22" ht="21" customHeight="1" thickTop="1">
      <c r="B9" s="537" t="s">
        <v>384</v>
      </c>
      <c r="C9" s="675"/>
      <c r="D9" s="676"/>
      <c r="E9" s="618"/>
      <c r="F9" s="1468"/>
      <c r="G9" s="618"/>
      <c r="H9" s="678"/>
      <c r="I9" s="620"/>
      <c r="J9" s="618"/>
      <c r="K9" s="618"/>
      <c r="L9" s="629"/>
      <c r="M9" s="679"/>
      <c r="P9" s="322"/>
      <c r="Q9" s="322"/>
      <c r="R9" s="322"/>
      <c r="S9" s="322"/>
      <c r="T9" s="322"/>
      <c r="U9" s="322"/>
      <c r="V9" s="322"/>
    </row>
    <row r="10" spans="1:22" ht="21" customHeight="1">
      <c r="B10" s="536" t="s">
        <v>385</v>
      </c>
      <c r="C10" s="680"/>
      <c r="D10" s="652"/>
      <c r="E10" s="601"/>
      <c r="F10" s="1469"/>
      <c r="G10" s="601"/>
      <c r="H10" s="601"/>
      <c r="I10" s="682"/>
      <c r="J10" s="683"/>
      <c r="K10" s="601"/>
      <c r="L10" s="631"/>
      <c r="M10" s="684"/>
      <c r="N10" s="398" t="s">
        <v>3406</v>
      </c>
      <c r="O10" s="398" t="s">
        <v>3406</v>
      </c>
      <c r="P10" s="377"/>
      <c r="Q10" s="322"/>
      <c r="R10" s="322"/>
      <c r="S10" s="322"/>
      <c r="T10" s="322"/>
      <c r="U10" s="322"/>
      <c r="V10" s="322"/>
    </row>
    <row r="11" spans="1:22" ht="21" customHeight="1">
      <c r="B11" s="536" t="s">
        <v>386</v>
      </c>
      <c r="C11" s="648"/>
      <c r="D11" s="652"/>
      <c r="E11" s="601"/>
      <c r="F11" s="1470"/>
      <c r="G11" s="601"/>
      <c r="H11" s="601"/>
      <c r="I11" s="623"/>
      <c r="J11" s="601"/>
      <c r="K11" s="601"/>
      <c r="L11" s="631"/>
      <c r="M11" s="684"/>
      <c r="P11" s="322"/>
      <c r="Q11" s="322"/>
      <c r="R11" s="322"/>
      <c r="S11" s="322"/>
      <c r="T11" s="322"/>
      <c r="U11" s="322"/>
      <c r="V11" s="322"/>
    </row>
    <row r="12" spans="1:22" ht="21" customHeight="1">
      <c r="B12" s="536" t="s">
        <v>387</v>
      </c>
      <c r="C12" s="648"/>
      <c r="D12" s="652"/>
      <c r="E12" s="601"/>
      <c r="F12" s="1470"/>
      <c r="G12" s="601"/>
      <c r="H12" s="601"/>
      <c r="I12" s="623"/>
      <c r="J12" s="601"/>
      <c r="K12" s="601"/>
      <c r="L12" s="631"/>
      <c r="M12" s="684"/>
      <c r="P12" s="322"/>
      <c r="Q12" s="322"/>
      <c r="R12" s="322"/>
      <c r="S12" s="322"/>
      <c r="T12" s="322"/>
      <c r="U12" s="322"/>
      <c r="V12" s="322"/>
    </row>
    <row r="13" spans="1:22" ht="21" customHeight="1">
      <c r="B13" s="536" t="s">
        <v>388</v>
      </c>
      <c r="C13" s="648"/>
      <c r="D13" s="652"/>
      <c r="E13" s="601"/>
      <c r="F13" s="1470"/>
      <c r="G13" s="601"/>
      <c r="H13" s="601"/>
      <c r="I13" s="623"/>
      <c r="J13" s="601"/>
      <c r="K13" s="601"/>
      <c r="L13" s="631"/>
      <c r="M13" s="684"/>
      <c r="P13" s="322"/>
      <c r="Q13" s="322"/>
      <c r="R13" s="322"/>
      <c r="S13" s="322"/>
      <c r="T13" s="322"/>
      <c r="U13" s="322"/>
      <c r="V13" s="322"/>
    </row>
    <row r="14" spans="1:22" ht="21" customHeight="1">
      <c r="B14" s="536" t="s">
        <v>389</v>
      </c>
      <c r="C14" s="648"/>
      <c r="D14" s="652"/>
      <c r="E14" s="604"/>
      <c r="F14" s="1471"/>
      <c r="G14" s="604"/>
      <c r="H14" s="604"/>
      <c r="I14" s="626"/>
      <c r="J14" s="601"/>
      <c r="K14" s="601"/>
      <c r="L14" s="631"/>
      <c r="M14" s="684"/>
      <c r="P14" s="322"/>
      <c r="Q14" s="322"/>
      <c r="R14" s="322"/>
      <c r="S14" s="322"/>
      <c r="T14" s="322"/>
      <c r="U14" s="322"/>
      <c r="V14" s="322"/>
    </row>
    <row r="15" spans="1:22" ht="21" customHeight="1">
      <c r="A15" s="1863" t="s">
        <v>3446</v>
      </c>
      <c r="B15" s="536" t="s">
        <v>390</v>
      </c>
      <c r="C15" s="687"/>
      <c r="D15" s="688"/>
      <c r="E15" s="601"/>
      <c r="F15" s="1470"/>
      <c r="G15" s="601"/>
      <c r="H15" s="601"/>
      <c r="I15" s="623"/>
      <c r="J15" s="601"/>
      <c r="K15" s="601"/>
      <c r="L15" s="631"/>
      <c r="M15" s="684"/>
      <c r="P15" s="322"/>
      <c r="Q15" s="322"/>
      <c r="R15" s="322"/>
      <c r="S15" s="322"/>
      <c r="T15" s="322"/>
      <c r="U15" s="322"/>
      <c r="V15" s="322"/>
    </row>
    <row r="16" spans="1:22" ht="21" customHeight="1">
      <c r="A16" s="1863"/>
      <c r="B16" s="536" t="s">
        <v>501</v>
      </c>
      <c r="C16" s="648"/>
      <c r="D16" s="652"/>
      <c r="E16" s="601"/>
      <c r="F16" s="1470"/>
      <c r="G16" s="601"/>
      <c r="H16" s="601"/>
      <c r="I16" s="623"/>
      <c r="J16" s="601"/>
      <c r="K16" s="601"/>
      <c r="L16" s="631"/>
      <c r="M16" s="684"/>
      <c r="P16" s="322"/>
      <c r="Q16" s="322"/>
      <c r="R16" s="322"/>
      <c r="S16" s="322"/>
      <c r="T16" s="322"/>
      <c r="U16" s="322"/>
      <c r="V16" s="322"/>
    </row>
    <row r="17" spans="1:22" ht="21" customHeight="1">
      <c r="A17" s="1863"/>
      <c r="B17" s="536" t="s">
        <v>502</v>
      </c>
      <c r="C17" s="648"/>
      <c r="D17" s="652"/>
      <c r="E17" s="601"/>
      <c r="F17" s="1470"/>
      <c r="G17" s="601"/>
      <c r="H17" s="601"/>
      <c r="I17" s="623"/>
      <c r="J17" s="601"/>
      <c r="K17" s="601"/>
      <c r="L17" s="631"/>
      <c r="M17" s="684"/>
      <c r="P17" s="322"/>
      <c r="Q17" s="322"/>
      <c r="R17" s="322"/>
      <c r="S17" s="322"/>
      <c r="T17" s="322"/>
      <c r="U17" s="322"/>
      <c r="V17" s="322"/>
    </row>
    <row r="18" spans="1:22" ht="21" customHeight="1">
      <c r="A18" s="535"/>
      <c r="B18" s="696" t="s">
        <v>987</v>
      </c>
      <c r="C18" s="690"/>
      <c r="D18" s="691"/>
      <c r="E18" s="689">
        <f>SUM(E9:E17)</f>
        <v>0</v>
      </c>
      <c r="F18" s="692"/>
      <c r="G18" s="689">
        <f>SUM(G9:G17)</f>
        <v>0</v>
      </c>
      <c r="H18" s="689"/>
      <c r="I18" s="693"/>
      <c r="J18" s="689">
        <f>SUM(J9:J17)</f>
        <v>0</v>
      </c>
      <c r="K18" s="689">
        <f>SUM(K9:K17)</f>
        <v>0</v>
      </c>
      <c r="L18" s="694"/>
      <c r="M18" s="695"/>
      <c r="P18" s="322"/>
      <c r="Q18" s="322"/>
      <c r="R18" s="322"/>
      <c r="S18" s="322"/>
      <c r="T18" s="322"/>
      <c r="U18" s="322"/>
      <c r="V18" s="322"/>
    </row>
    <row r="19" spans="1:22" ht="21" customHeight="1">
      <c r="A19" s="535"/>
      <c r="B19" s="1352"/>
      <c r="C19" s="1192"/>
      <c r="D19" s="1192"/>
      <c r="E19" s="1353"/>
      <c r="F19" s="1192"/>
      <c r="G19" s="1353"/>
      <c r="H19" s="1353"/>
      <c r="I19" s="1354"/>
      <c r="J19" s="1353"/>
      <c r="K19" s="1353"/>
      <c r="L19" s="1353"/>
      <c r="M19" s="1192"/>
      <c r="P19" s="322"/>
      <c r="Q19" s="322"/>
      <c r="R19" s="322"/>
      <c r="S19" s="322"/>
      <c r="T19" s="322"/>
      <c r="U19" s="322"/>
      <c r="V19" s="322"/>
    </row>
    <row r="20" spans="1:22" ht="21" customHeight="1">
      <c r="A20" s="535"/>
      <c r="B20" s="1352"/>
      <c r="C20" s="1192"/>
      <c r="D20" s="1192"/>
      <c r="E20" s="1353"/>
      <c r="F20" s="1192"/>
      <c r="G20" s="1353"/>
      <c r="H20" s="1353"/>
      <c r="I20" s="1354"/>
      <c r="J20" s="1353"/>
      <c r="K20" s="1353"/>
      <c r="L20" s="1353"/>
      <c r="M20" s="1192"/>
      <c r="P20" s="322"/>
      <c r="Q20" s="322"/>
      <c r="R20" s="322"/>
      <c r="S20" s="322"/>
      <c r="T20" s="322"/>
      <c r="U20" s="322"/>
      <c r="V20" s="322"/>
    </row>
    <row r="21" spans="1:22" ht="13.5" customHeight="1" thickBot="1">
      <c r="B21" s="1355"/>
      <c r="C21" s="1356"/>
      <c r="D21" s="1357"/>
      <c r="E21" s="1192"/>
      <c r="F21" s="1192"/>
      <c r="G21" s="1192"/>
      <c r="H21" s="1192"/>
      <c r="I21" s="1192"/>
      <c r="J21" s="1358"/>
      <c r="K21" s="1192"/>
      <c r="L21" s="1192"/>
      <c r="M21" s="1192"/>
      <c r="P21" s="322"/>
      <c r="Q21" s="322"/>
      <c r="R21" s="322"/>
      <c r="S21" s="322"/>
      <c r="T21" s="322"/>
      <c r="U21" s="322"/>
      <c r="V21" s="322"/>
    </row>
    <row r="22" spans="1:22" ht="14.4" thickTop="1" thickBot="1">
      <c r="B22" s="1220" t="s">
        <v>44</v>
      </c>
      <c r="C22" s="1119"/>
      <c r="D22" s="1359"/>
      <c r="E22" s="1119"/>
      <c r="F22" s="1114"/>
      <c r="G22" s="1114"/>
      <c r="H22" s="1114"/>
      <c r="I22" s="1860" t="str">
        <f>"INTEREST  ON  NOTES  -  "&amp;UPPER('KEY INPUTS'!D53)&amp;" UTILITY  BUDGET"</f>
        <v>INTEREST  ON  NOTES  -   UTILITY  BUDGET</v>
      </c>
      <c r="J22" s="1861"/>
      <c r="K22" s="1861"/>
      <c r="L22" s="1861"/>
      <c r="M22" s="1862"/>
      <c r="P22" s="322"/>
      <c r="Q22" s="322"/>
      <c r="R22" s="322"/>
      <c r="S22" s="322"/>
      <c r="T22" s="322"/>
      <c r="U22" s="322"/>
      <c r="V22" s="322"/>
    </row>
    <row r="23" spans="1:22" ht="15.6" customHeight="1">
      <c r="B23" s="1360" t="s">
        <v>45</v>
      </c>
      <c r="C23" s="1360"/>
      <c r="D23" s="1220" t="s">
        <v>46</v>
      </c>
      <c r="E23" s="1119"/>
      <c r="F23" s="1114"/>
      <c r="G23" s="1114"/>
      <c r="H23" s="1114"/>
      <c r="I23" s="1361" t="str">
        <f>TEXT('KEY INPUTS'!D34+1,"0")&amp;"  Interest on Notes"</f>
        <v>2020  Interest on Notes</v>
      </c>
      <c r="J23" s="1191"/>
      <c r="K23" s="1191"/>
      <c r="L23" s="1362" t="s">
        <v>482</v>
      </c>
      <c r="M23" s="1234">
        <f>K18</f>
        <v>0</v>
      </c>
      <c r="P23" s="322"/>
      <c r="Q23" s="322"/>
      <c r="R23" s="322"/>
      <c r="S23" s="322"/>
      <c r="T23" s="322"/>
      <c r="U23" s="322"/>
      <c r="V23" s="322"/>
    </row>
    <row r="24" spans="1:22" ht="15.6" customHeight="1">
      <c r="B24" s="472"/>
      <c r="C24" s="472"/>
      <c r="D24" s="520" t="s">
        <v>47</v>
      </c>
      <c r="E24" s="519"/>
      <c r="I24" s="525" t="str">
        <f>"Less: Interest Accrued to "&amp;TEXT('KEY INPUTS'!D29,"mm/dd/yyyy")&amp;" (Trial Balance)"</f>
        <v>Less: Interest Accrued to 12/31/2019 (Trial Balance)</v>
      </c>
      <c r="J24" s="402"/>
      <c r="K24" s="402"/>
      <c r="L24" s="524" t="s">
        <v>482</v>
      </c>
      <c r="M24" s="672"/>
      <c r="P24" s="322"/>
      <c r="Q24" s="322"/>
      <c r="R24" s="322"/>
      <c r="S24" s="322"/>
      <c r="T24" s="322"/>
      <c r="U24" s="322"/>
      <c r="V24" s="322"/>
    </row>
    <row r="25" spans="1:22" ht="15.6" customHeight="1">
      <c r="B25" s="472"/>
      <c r="C25" s="472"/>
      <c r="D25" s="472" t="s">
        <v>48</v>
      </c>
      <c r="E25" s="519"/>
      <c r="I25" s="491"/>
      <c r="J25" s="402" t="s">
        <v>421</v>
      </c>
      <c r="K25" s="402"/>
      <c r="L25" s="524" t="s">
        <v>482</v>
      </c>
      <c r="M25" s="308">
        <f>+M23-M24</f>
        <v>0</v>
      </c>
    </row>
    <row r="26" spans="1:22" ht="15.6" customHeight="1">
      <c r="B26" s="472"/>
      <c r="C26" s="472"/>
      <c r="D26" s="472" t="str">
        <f>"All notes with an original date of issue of 2016"&amp;" or prior require one legally payable installment to be budgeted if it"</f>
        <v>All notes with an original date of issue of 2016 or prior require one legally payable installment to be budgeted if it</v>
      </c>
      <c r="E26" s="519"/>
      <c r="I26" s="525" t="str">
        <f>"Add: Interest to be Accrued as of "&amp;TEXT('KEY INPUTS'!D29,"mm/dd/yyyy")&amp;""</f>
        <v>Add: Interest to be Accrued as of 12/31/2019</v>
      </c>
      <c r="J26" s="402"/>
      <c r="K26" s="402"/>
      <c r="L26" s="524" t="s">
        <v>482</v>
      </c>
      <c r="M26" s="672"/>
    </row>
    <row r="27" spans="1:22" ht="15.6" customHeight="1" thickBot="1">
      <c r="B27" s="472"/>
      <c r="C27" s="472"/>
      <c r="D27" s="472" t="str">
        <f>"is contemplated that such notes will be renewed in "&amp;TEXT('KEY INPUTS'!D34+1,"0")&amp;" or written intent of permanent financing submitted."</f>
        <v>is contemplated that such notes will be renewed in 2020 or written intent of permanent financing submitted.</v>
      </c>
      <c r="E27" s="519"/>
      <c r="I27" s="523" t="str">
        <f>"Required Appropriation - "&amp;TEXT('KEY INPUTS'!D34+1,"0")&amp;""</f>
        <v>Required Appropriation - 2020</v>
      </c>
      <c r="J27" s="466"/>
      <c r="K27" s="466"/>
      <c r="L27" s="522" t="s">
        <v>482</v>
      </c>
      <c r="M27" s="521">
        <f>+M25+M26</f>
        <v>0</v>
      </c>
    </row>
    <row r="28" spans="1:22" ht="13.8" thickTop="1">
      <c r="B28" s="472"/>
      <c r="C28" s="472"/>
      <c r="D28" s="472" t="s">
        <v>49</v>
      </c>
      <c r="E28" s="519"/>
    </row>
    <row r="29" spans="1:22">
      <c r="B29" s="519"/>
      <c r="C29" s="519"/>
      <c r="D29" s="520" t="s">
        <v>50</v>
      </c>
      <c r="E29" s="519"/>
    </row>
    <row r="30" spans="1:22">
      <c r="J30" s="518" t="s">
        <v>127</v>
      </c>
    </row>
  </sheetData>
  <sheetProtection algorithmName="SHA-512" hashValue="B/nji4rbiEY3c+4U5mWhk1H0SQBnihD+BU+Ivz4j2ReG7nhgoHL2iOgHBKQ05xX3Zz9K89cpl/69qgZIH5YhRw==" saltValue="mg8kx9X5vQQjYiJWBdo1WQ==" spinCount="100000" sheet="1" objects="1" scenarios="1"/>
  <customSheetViews>
    <customSheetView guid="{AC653BD0-46E3-42CB-9C76-32121A57B65A}">
      <selection activeCell="M26" sqref="M26"/>
      <pageMargins left="0.25" right="0.25" top="0.5" bottom="0.5" header="0.25" footer="0.25"/>
      <pageSetup paperSize="5" orientation="landscape" r:id="rId1"/>
      <headerFooter alignWithMargins="0"/>
    </customSheetView>
    <customSheetView guid="{B165479B-DC25-403C-9595-F1A88A4AA9A2}">
      <selection activeCell="M26" sqref="M26"/>
      <pageMargins left="0.25" right="0.25" top="0.5" bottom="0.5" header="0.25" footer="0.25"/>
      <pageSetup paperSize="5" orientation="landscape" r:id="rId2"/>
      <headerFooter alignWithMargins="0"/>
    </customSheetView>
    <customSheetView guid="{A64E4C9E-A3DA-4AAA-8607-F524450B9436}">
      <selection activeCell="M26" sqref="M26"/>
      <pageMargins left="0.25" right="0.25" top="0.5" bottom="0.5" header="0.25" footer="0.25"/>
      <pageSetup paperSize="5" orientation="landscape" r:id="rId3"/>
      <headerFooter alignWithMargins="0"/>
    </customSheetView>
    <customSheetView guid="{AB4FBD91-4533-473A-9702-569FF6402073}">
      <selection activeCell="M26" sqref="M26"/>
      <pageMargins left="0.25" right="0.25" top="0.5" bottom="0.5" header="0.25" footer="0.25"/>
      <pageSetup paperSize="5" orientation="landscape" r:id="rId4"/>
      <headerFooter alignWithMargins="0"/>
    </customSheetView>
  </customSheetViews>
  <mergeCells count="6">
    <mergeCell ref="A15:A17"/>
    <mergeCell ref="I22:M22"/>
    <mergeCell ref="B2:M2"/>
    <mergeCell ref="B3:M3"/>
    <mergeCell ref="J5:K6"/>
    <mergeCell ref="C6:D6"/>
  </mergeCells>
  <pageMargins left="0.25" right="0.25" top="0.5" bottom="0.5" header="0.25" footer="0.25"/>
  <pageSetup paperSize="5" orientation="landscape" r:id="rId5"/>
  <headerFooter alignWithMargins="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2">
    <tabColor theme="3" tint="0.39997558519241921"/>
  </sheetPr>
  <dimension ref="A2:T29"/>
  <sheetViews>
    <sheetView zoomScaleNormal="100" zoomScaleSheetLayoutView="80" workbookViewId="0">
      <selection activeCell="G23" sqref="G23"/>
    </sheetView>
  </sheetViews>
  <sheetFormatPr defaultColWidth="9.109375" defaultRowHeight="13.2"/>
  <cols>
    <col min="1" max="1" width="5.6640625" style="331" customWidth="1"/>
    <col min="2" max="3" width="4.88671875" style="331" customWidth="1"/>
    <col min="4" max="4" width="31.5546875" style="331" customWidth="1"/>
    <col min="5" max="12" width="15.6640625" style="331" customWidth="1"/>
    <col min="13" max="16384" width="9.109375" style="331"/>
  </cols>
  <sheetData>
    <row r="2" spans="1:20" ht="20.399999999999999">
      <c r="B2" s="1788" t="str">
        <f>"DEBT  SERVICE  SCHEDULE  FOR  "&amp;UPPER('KEY INPUTS'!D53) &amp;"  UTILITY  ASSESSMENT  NOTES"</f>
        <v>DEBT  SERVICE  SCHEDULE  FOR    UTILITY  ASSESSMENT  NOTES</v>
      </c>
      <c r="C2" s="1788"/>
      <c r="D2" s="1788"/>
      <c r="E2" s="1788"/>
      <c r="F2" s="1788"/>
      <c r="G2" s="1788"/>
      <c r="H2" s="1788"/>
      <c r="I2" s="1788"/>
      <c r="J2" s="1788"/>
      <c r="K2" s="1788"/>
      <c r="L2" s="1788"/>
    </row>
    <row r="3" spans="1:20" ht="21" thickBot="1">
      <c r="B3" s="1870"/>
      <c r="C3" s="1870"/>
      <c r="D3" s="1870"/>
      <c r="E3" s="1870"/>
      <c r="F3" s="1870"/>
      <c r="G3" s="1870"/>
      <c r="H3" s="1870"/>
      <c r="I3" s="1870"/>
      <c r="J3" s="1870"/>
      <c r="K3" s="1870"/>
      <c r="L3" s="1870"/>
    </row>
    <row r="4" spans="1:20" ht="13.5" customHeight="1" thickTop="1">
      <c r="B4" s="1943"/>
      <c r="C4" s="1943"/>
      <c r="D4" s="1944"/>
      <c r="E4" s="1238"/>
      <c r="F4" s="1143"/>
      <c r="G4" s="1143"/>
      <c r="H4" s="1143"/>
      <c r="I4" s="1143"/>
      <c r="J4" s="1142"/>
      <c r="K4" s="1142"/>
      <c r="L4" s="1145"/>
    </row>
    <row r="5" spans="1:20" ht="13.5" customHeight="1">
      <c r="B5" s="1146"/>
      <c r="C5" s="1146"/>
      <c r="D5" s="1146"/>
      <c r="E5" s="1147" t="s">
        <v>176</v>
      </c>
      <c r="F5" s="1151" t="s">
        <v>176</v>
      </c>
      <c r="G5" s="1151" t="s">
        <v>533</v>
      </c>
      <c r="H5" s="1151" t="s">
        <v>18</v>
      </c>
      <c r="I5" s="1151" t="s">
        <v>684</v>
      </c>
      <c r="J5" s="1866">
        <f>'KEY INPUTS'!D33</f>
        <v>2020</v>
      </c>
      <c r="K5" s="1867"/>
      <c r="L5" s="1149" t="s">
        <v>685</v>
      </c>
    </row>
    <row r="6" spans="1:20" ht="13.5" customHeight="1">
      <c r="B6" s="1146"/>
      <c r="C6" s="1787" t="s">
        <v>175</v>
      </c>
      <c r="D6" s="1871"/>
      <c r="E6" s="1147" t="s">
        <v>533</v>
      </c>
      <c r="F6" s="1151" t="s">
        <v>177</v>
      </c>
      <c r="G6" s="1151" t="s">
        <v>681</v>
      </c>
      <c r="H6" s="1151" t="s">
        <v>682</v>
      </c>
      <c r="I6" s="1151" t="s">
        <v>682</v>
      </c>
      <c r="J6" s="1868"/>
      <c r="K6" s="1869"/>
      <c r="L6" s="1149" t="s">
        <v>688</v>
      </c>
    </row>
    <row r="7" spans="1:20" ht="13.5" customHeight="1">
      <c r="B7" s="1146"/>
      <c r="C7" s="1146"/>
      <c r="D7" s="1146"/>
      <c r="E7" s="1147" t="s">
        <v>113</v>
      </c>
      <c r="F7" s="1147" t="s">
        <v>178</v>
      </c>
      <c r="G7" s="1147" t="s">
        <v>257</v>
      </c>
      <c r="H7" s="1147" t="s">
        <v>683</v>
      </c>
      <c r="I7" s="1147" t="s">
        <v>685</v>
      </c>
      <c r="J7" s="1147" t="s">
        <v>142</v>
      </c>
      <c r="K7" s="1147" t="s">
        <v>686</v>
      </c>
      <c r="L7" s="1149" t="s">
        <v>689</v>
      </c>
      <c r="N7" s="322"/>
      <c r="O7" s="322"/>
      <c r="P7" s="322"/>
      <c r="Q7" s="322"/>
      <c r="R7" s="322"/>
      <c r="S7" s="322"/>
      <c r="T7" s="322"/>
    </row>
    <row r="8" spans="1:20" ht="13.5" customHeight="1" thickBot="1">
      <c r="B8" s="1153"/>
      <c r="C8" s="1153"/>
      <c r="D8" s="1153"/>
      <c r="E8" s="1154"/>
      <c r="F8" s="1154"/>
      <c r="G8" s="1364" t="str">
        <f>'KEY INPUTS'!D46</f>
        <v>Dec. 31, 2019</v>
      </c>
      <c r="H8" s="1154"/>
      <c r="I8" s="1154"/>
      <c r="J8" s="1155"/>
      <c r="K8" s="1255" t="s">
        <v>687</v>
      </c>
      <c r="L8" s="1157"/>
      <c r="N8" s="322"/>
      <c r="O8" s="322"/>
      <c r="P8" s="322"/>
      <c r="Q8" s="322"/>
      <c r="R8" s="322"/>
      <c r="S8" s="322"/>
      <c r="T8" s="322"/>
    </row>
    <row r="9" spans="1:20" ht="21" customHeight="1" thickTop="1">
      <c r="B9" s="1874"/>
      <c r="C9" s="1874"/>
      <c r="D9" s="1875"/>
      <c r="E9" s="605"/>
      <c r="F9" s="797"/>
      <c r="G9" s="605"/>
      <c r="H9" s="605"/>
      <c r="I9" s="798"/>
      <c r="J9" s="605"/>
      <c r="K9" s="605"/>
      <c r="L9" s="799"/>
      <c r="N9" s="377"/>
      <c r="O9" s="322"/>
      <c r="P9" s="322"/>
      <c r="Q9" s="322"/>
      <c r="R9" s="322"/>
      <c r="S9" s="322"/>
      <c r="T9" s="322"/>
    </row>
    <row r="10" spans="1:20" ht="21" customHeight="1">
      <c r="B10" s="1876"/>
      <c r="C10" s="1876"/>
      <c r="D10" s="1877"/>
      <c r="E10" s="601"/>
      <c r="F10" s="685"/>
      <c r="G10" s="601"/>
      <c r="H10" s="601"/>
      <c r="I10" s="623"/>
      <c r="J10" s="601"/>
      <c r="K10" s="601"/>
      <c r="L10" s="699"/>
      <c r="N10" s="322"/>
      <c r="O10" s="322"/>
      <c r="P10" s="322"/>
      <c r="Q10" s="322"/>
      <c r="R10" s="322"/>
      <c r="S10" s="322"/>
      <c r="T10" s="322"/>
    </row>
    <row r="11" spans="1:20" ht="21" customHeight="1">
      <c r="B11" s="1876"/>
      <c r="C11" s="1876"/>
      <c r="D11" s="1877"/>
      <c r="E11" s="601"/>
      <c r="F11" s="685"/>
      <c r="G11" s="601"/>
      <c r="H11" s="601"/>
      <c r="I11" s="623"/>
      <c r="J11" s="601"/>
      <c r="K11" s="601"/>
      <c r="L11" s="699"/>
      <c r="N11" s="322"/>
      <c r="O11" s="322"/>
      <c r="P11" s="322"/>
      <c r="Q11" s="322"/>
      <c r="R11" s="322"/>
      <c r="S11" s="322"/>
      <c r="T11" s="322"/>
    </row>
    <row r="12" spans="1:20" ht="21" customHeight="1">
      <c r="B12" s="1876"/>
      <c r="C12" s="1876"/>
      <c r="D12" s="1877"/>
      <c r="E12" s="601"/>
      <c r="F12" s="685"/>
      <c r="G12" s="601"/>
      <c r="H12" s="601"/>
      <c r="I12" s="623"/>
      <c r="J12" s="601"/>
      <c r="K12" s="601"/>
      <c r="L12" s="699"/>
      <c r="N12" s="322"/>
      <c r="O12" s="322"/>
      <c r="P12" s="322"/>
      <c r="Q12" s="322"/>
      <c r="R12" s="322"/>
      <c r="S12" s="322"/>
      <c r="T12" s="322"/>
    </row>
    <row r="13" spans="1:20" ht="21" customHeight="1">
      <c r="B13" s="1876"/>
      <c r="C13" s="1876"/>
      <c r="D13" s="1877"/>
      <c r="E13" s="601"/>
      <c r="F13" s="685"/>
      <c r="G13" s="601"/>
      <c r="H13" s="601"/>
      <c r="I13" s="623"/>
      <c r="J13" s="601"/>
      <c r="K13" s="601"/>
      <c r="L13" s="699"/>
      <c r="N13" s="322"/>
      <c r="O13" s="322"/>
      <c r="P13" s="322"/>
      <c r="Q13" s="322"/>
      <c r="R13" s="322"/>
      <c r="S13" s="322"/>
      <c r="T13" s="322"/>
    </row>
    <row r="14" spans="1:20" ht="21" customHeight="1">
      <c r="B14" s="1876"/>
      <c r="C14" s="1876"/>
      <c r="D14" s="1877"/>
      <c r="E14" s="604"/>
      <c r="F14" s="686"/>
      <c r="G14" s="604"/>
      <c r="H14" s="604"/>
      <c r="I14" s="626"/>
      <c r="J14" s="601"/>
      <c r="K14" s="601"/>
      <c r="L14" s="699"/>
      <c r="N14" s="322"/>
      <c r="O14" s="322"/>
      <c r="P14" s="322"/>
      <c r="Q14" s="322"/>
      <c r="R14" s="322"/>
      <c r="S14" s="322"/>
      <c r="T14" s="322"/>
    </row>
    <row r="15" spans="1:20" ht="21" customHeight="1">
      <c r="A15" s="1792" t="s">
        <v>3447</v>
      </c>
      <c r="B15" s="1876"/>
      <c r="C15" s="1876"/>
      <c r="D15" s="1877"/>
      <c r="E15" s="601"/>
      <c r="F15" s="685"/>
      <c r="G15" s="601"/>
      <c r="H15" s="601"/>
      <c r="I15" s="623"/>
      <c r="J15" s="601"/>
      <c r="K15" s="601"/>
      <c r="L15" s="699"/>
      <c r="N15" s="322"/>
      <c r="O15" s="322"/>
      <c r="P15" s="322"/>
      <c r="Q15" s="322"/>
      <c r="R15" s="322"/>
      <c r="S15" s="322"/>
      <c r="T15" s="322"/>
    </row>
    <row r="16" spans="1:20" ht="21" customHeight="1">
      <c r="A16" s="1792"/>
      <c r="B16" s="1876"/>
      <c r="C16" s="1876"/>
      <c r="D16" s="1877"/>
      <c r="E16" s="601"/>
      <c r="F16" s="685"/>
      <c r="G16" s="601"/>
      <c r="H16" s="601"/>
      <c r="I16" s="623"/>
      <c r="J16" s="601"/>
      <c r="K16" s="601"/>
      <c r="L16" s="699"/>
      <c r="N16" s="322"/>
      <c r="O16" s="322"/>
      <c r="P16" s="322"/>
      <c r="Q16" s="322"/>
      <c r="R16" s="322"/>
      <c r="S16" s="322"/>
      <c r="T16" s="322"/>
    </row>
    <row r="17" spans="1:20" ht="21" customHeight="1">
      <c r="A17" s="1792"/>
      <c r="B17" s="1876"/>
      <c r="C17" s="1876"/>
      <c r="D17" s="1877"/>
      <c r="E17" s="601"/>
      <c r="F17" s="685"/>
      <c r="G17" s="601"/>
      <c r="H17" s="601"/>
      <c r="I17" s="623"/>
      <c r="J17" s="601"/>
      <c r="K17" s="601"/>
      <c r="L17" s="699"/>
      <c r="N17" s="322"/>
      <c r="O17" s="322"/>
      <c r="P17" s="322"/>
      <c r="Q17" s="322"/>
      <c r="R17" s="322"/>
      <c r="S17" s="322"/>
      <c r="T17" s="322"/>
    </row>
    <row r="18" spans="1:20" ht="21" customHeight="1">
      <c r="A18" s="545"/>
      <c r="B18" s="1876"/>
      <c r="C18" s="1876"/>
      <c r="D18" s="1877"/>
      <c r="E18" s="601"/>
      <c r="F18" s="685"/>
      <c r="G18" s="601"/>
      <c r="H18" s="601"/>
      <c r="I18" s="623"/>
      <c r="J18" s="601"/>
      <c r="K18" s="601"/>
      <c r="L18" s="699"/>
      <c r="N18" s="322"/>
      <c r="O18" s="322"/>
      <c r="P18" s="322"/>
      <c r="Q18" s="322"/>
      <c r="R18" s="322"/>
      <c r="S18" s="322"/>
      <c r="T18" s="322"/>
    </row>
    <row r="19" spans="1:20" ht="21" customHeight="1">
      <c r="B19" s="1876"/>
      <c r="C19" s="1876"/>
      <c r="D19" s="1877"/>
      <c r="E19" s="601"/>
      <c r="F19" s="685"/>
      <c r="G19" s="601"/>
      <c r="H19" s="601"/>
      <c r="I19" s="623"/>
      <c r="J19" s="601"/>
      <c r="K19" s="601"/>
      <c r="L19" s="699"/>
      <c r="N19" s="322"/>
      <c r="O19" s="322"/>
      <c r="P19" s="322"/>
      <c r="Q19" s="322"/>
      <c r="R19" s="322"/>
      <c r="S19" s="322"/>
      <c r="T19" s="322"/>
    </row>
    <row r="20" spans="1:20" ht="21" customHeight="1">
      <c r="B20" s="1876"/>
      <c r="C20" s="1876"/>
      <c r="D20" s="1877"/>
      <c r="E20" s="601"/>
      <c r="F20" s="685"/>
      <c r="G20" s="601"/>
      <c r="H20" s="601"/>
      <c r="I20" s="623"/>
      <c r="J20" s="601"/>
      <c r="K20" s="601"/>
      <c r="L20" s="699"/>
      <c r="N20" s="322"/>
      <c r="O20" s="322"/>
      <c r="P20" s="322"/>
      <c r="Q20" s="322"/>
      <c r="R20" s="322"/>
      <c r="S20" s="322"/>
      <c r="T20" s="322"/>
    </row>
    <row r="21" spans="1:20" ht="21" customHeight="1">
      <c r="B21" s="1876"/>
      <c r="C21" s="1876"/>
      <c r="D21" s="1877"/>
      <c r="E21" s="601"/>
      <c r="F21" s="685"/>
      <c r="G21" s="601"/>
      <c r="H21" s="601"/>
      <c r="I21" s="623"/>
      <c r="J21" s="601"/>
      <c r="K21" s="601"/>
      <c r="L21" s="699"/>
      <c r="N21" s="322"/>
      <c r="O21" s="322"/>
      <c r="P21" s="322"/>
      <c r="Q21" s="322"/>
      <c r="R21" s="322"/>
      <c r="S21" s="322"/>
      <c r="T21" s="322"/>
    </row>
    <row r="22" spans="1:20" ht="21" customHeight="1">
      <c r="B22" s="1876"/>
      <c r="C22" s="1876"/>
      <c r="D22" s="1877"/>
      <c r="E22" s="601"/>
      <c r="F22" s="685"/>
      <c r="G22" s="601"/>
      <c r="H22" s="601"/>
      <c r="I22" s="623"/>
      <c r="J22" s="601"/>
      <c r="K22" s="601"/>
      <c r="L22" s="699"/>
      <c r="N22" s="322"/>
      <c r="O22" s="322"/>
      <c r="P22" s="322"/>
      <c r="Q22" s="322"/>
      <c r="R22" s="322"/>
      <c r="S22" s="322"/>
      <c r="T22" s="322"/>
    </row>
    <row r="23" spans="1:20" ht="21" customHeight="1" thickBot="1">
      <c r="B23" s="1372"/>
      <c r="C23" s="1232"/>
      <c r="D23" s="1257"/>
      <c r="E23" s="1131">
        <f>SUM(E9:E22)</f>
        <v>0</v>
      </c>
      <c r="F23" s="1246"/>
      <c r="G23" s="1131">
        <f>SUM(G9:G22)</f>
        <v>0</v>
      </c>
      <c r="H23" s="1131"/>
      <c r="I23" s="1131"/>
      <c r="J23" s="1131">
        <f>SUM(J9:J22)</f>
        <v>0</v>
      </c>
      <c r="K23" s="1131">
        <f>SUM(K9:K22)</f>
        <v>0</v>
      </c>
      <c r="L23" s="1258"/>
      <c r="N23" s="322"/>
      <c r="O23" s="322"/>
      <c r="P23" s="322"/>
      <c r="Q23" s="322"/>
      <c r="R23" s="322"/>
      <c r="S23" s="322"/>
      <c r="T23" s="322"/>
    </row>
    <row r="24" spans="1:20" ht="13.5" customHeight="1" thickTop="1">
      <c r="B24" s="1366" t="s">
        <v>44</v>
      </c>
      <c r="C24" s="1367"/>
      <c r="D24" s="1368"/>
      <c r="E24" s="1146"/>
      <c r="F24" s="1146"/>
      <c r="G24" s="1146"/>
      <c r="H24" s="1146"/>
      <c r="I24" s="1146"/>
      <c r="J24" s="1369"/>
      <c r="K24" s="1369"/>
      <c r="L24" s="1146"/>
    </row>
    <row r="25" spans="1:20" ht="13.5" customHeight="1">
      <c r="B25" s="1366" t="s">
        <v>693</v>
      </c>
      <c r="C25" s="1367"/>
      <c r="D25" s="1368"/>
      <c r="E25" s="1146"/>
      <c r="F25" s="1146"/>
      <c r="G25" s="1146"/>
      <c r="H25" s="1146"/>
      <c r="I25" s="1146"/>
      <c r="J25" s="1146"/>
      <c r="K25" s="1146"/>
      <c r="L25" s="1146"/>
    </row>
    <row r="26" spans="1:20" ht="13.5" customHeight="1">
      <c r="B26" s="1366"/>
      <c r="C26" s="1367" t="str">
        <f>"Utility Assessment Notes with an original date of issue of December 31, 2016 "&amp;" or prior must be appropriated in full in the "&amp;TEXT('KEY INPUTS'!D34+1,"0")&amp;" Dedicated Utility Assessment Budget or written intent of"</f>
        <v>Utility Assessment Notes with an original date of issue of December 31, 2016  or prior must be appropriated in full in the 2020 Dedicated Utility Assessment Budget or written intent of</v>
      </c>
      <c r="D26" s="1368"/>
      <c r="E26" s="1146"/>
      <c r="F26" s="1146"/>
      <c r="G26" s="1146"/>
      <c r="H26" s="1146"/>
      <c r="I26" s="1146"/>
      <c r="J26" s="1146"/>
      <c r="K26" s="1146"/>
      <c r="L26" s="1146"/>
    </row>
    <row r="27" spans="1:20" ht="13.5" customHeight="1">
      <c r="B27" s="1366"/>
      <c r="C27" s="1367"/>
      <c r="D27" s="1370" t="s">
        <v>644</v>
      </c>
      <c r="E27" s="1146"/>
      <c r="F27" s="1146"/>
      <c r="G27" s="1146"/>
      <c r="H27" s="1146"/>
      <c r="I27" s="1146"/>
      <c r="J27" s="1146"/>
      <c r="K27" s="1146"/>
      <c r="L27" s="1146"/>
    </row>
    <row r="28" spans="1:20" ht="13.5" customHeight="1">
      <c r="B28" s="1366"/>
      <c r="C28" s="1367" t="s">
        <v>394</v>
      </c>
      <c r="D28" s="1368"/>
      <c r="E28" s="1146"/>
      <c r="F28" s="1146"/>
      <c r="G28" s="1146"/>
      <c r="H28" s="1146"/>
      <c r="I28" s="1146"/>
      <c r="J28" s="1371"/>
      <c r="K28" s="1146"/>
      <c r="L28" s="1146"/>
    </row>
    <row r="29" spans="1:20">
      <c r="B29" s="541"/>
      <c r="C29" s="411"/>
      <c r="D29" s="411"/>
    </row>
  </sheetData>
  <sheetProtection algorithmName="SHA-512" hashValue="pXKZ1VMu8dnaIIXS5MUC4/GprLQ1KBfl6NvPysUUb4zaPWjBGW1fEFq0wWhq4KUXxskimGXtpR+xrsyqVE2CxQ==" saltValue="tSeEaSqI8tSbAV01+jqu9g==" spinCount="100000" sheet="1" objects="1" scenarios="1"/>
  <customSheetViews>
    <customSheetView guid="{AC653BD0-46E3-42CB-9C76-32121A57B65A}">
      <selection activeCell="G23" sqref="G23"/>
      <pageMargins left="0.25" right="0.25" top="0.5" bottom="0.5" header="0.25" footer="0.25"/>
      <pageSetup paperSize="5" orientation="landscape" r:id="rId1"/>
      <headerFooter alignWithMargins="0"/>
    </customSheetView>
    <customSheetView guid="{B165479B-DC25-403C-9595-F1A88A4AA9A2}">
      <selection activeCell="G23" sqref="G23"/>
      <pageMargins left="0.25" right="0.25" top="0.5" bottom="0.5" header="0.25" footer="0.25"/>
      <pageSetup paperSize="5" orientation="landscape" r:id="rId2"/>
      <headerFooter alignWithMargins="0"/>
    </customSheetView>
    <customSheetView guid="{A64E4C9E-A3DA-4AAA-8607-F524450B9436}">
      <selection activeCell="G23" sqref="G23"/>
      <pageMargins left="0.25" right="0.25" top="0.5" bottom="0.5" header="0.25" footer="0.25"/>
      <pageSetup paperSize="5" orientation="landscape" r:id="rId3"/>
      <headerFooter alignWithMargins="0"/>
    </customSheetView>
    <customSheetView guid="{AB4FBD91-4533-473A-9702-569FF6402073}">
      <selection activeCell="G23" sqref="G23"/>
      <pageMargins left="0.25" right="0.25" top="0.5" bottom="0.5" header="0.25" footer="0.25"/>
      <pageSetup paperSize="5" orientation="landscape" r:id="rId4"/>
      <headerFooter alignWithMargins="0"/>
    </customSheetView>
  </customSheetViews>
  <mergeCells count="20">
    <mergeCell ref="B21:D21"/>
    <mergeCell ref="B22:D22"/>
    <mergeCell ref="B18:D18"/>
    <mergeCell ref="B19:D19"/>
    <mergeCell ref="B20:D20"/>
    <mergeCell ref="A15:A17"/>
    <mergeCell ref="B2:L2"/>
    <mergeCell ref="B3:L3"/>
    <mergeCell ref="B4:D4"/>
    <mergeCell ref="J5:K6"/>
    <mergeCell ref="C6:D6"/>
    <mergeCell ref="B9:D9"/>
    <mergeCell ref="B10:D10"/>
    <mergeCell ref="B16:D16"/>
    <mergeCell ref="B17:D17"/>
    <mergeCell ref="B11:D11"/>
    <mergeCell ref="B12:D12"/>
    <mergeCell ref="B13:D13"/>
    <mergeCell ref="B14:D14"/>
    <mergeCell ref="B15:D15"/>
  </mergeCells>
  <pageMargins left="0.25" right="0.25" top="0.5" bottom="0.5" header="0.25" footer="0.25"/>
  <pageSetup paperSize="5" orientation="landscape" r:id="rId5"/>
  <headerFooter alignWithMargins="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3">
    <tabColor theme="3" tint="0.39997558519241921"/>
  </sheetPr>
  <dimension ref="A2:R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5.88671875" style="331" customWidth="1"/>
    <col min="5" max="6" width="15.6640625" style="331" customWidth="1"/>
    <col min="7" max="9" width="30.6640625" style="331" customWidth="1"/>
    <col min="10" max="16384" width="9.109375" style="331"/>
  </cols>
  <sheetData>
    <row r="2" spans="1:18" ht="20.399999999999999">
      <c r="B2" s="1788" t="str">
        <f>"SCHEDULE  OF  CAPITAL  LEASE  PROGRAM  OBLIGATIONS "&amp;UPPER('KEY INPUTS'!D53)&amp;"  UTILITY"</f>
        <v>SCHEDULE  OF  CAPITAL  LEASE  PROGRAM  OBLIGATIONS   UTILITY</v>
      </c>
      <c r="C2" s="1788"/>
      <c r="D2" s="1788"/>
      <c r="E2" s="1788"/>
      <c r="F2" s="1788"/>
      <c r="G2" s="1788"/>
      <c r="H2" s="1788"/>
      <c r="I2" s="1788"/>
    </row>
    <row r="3" spans="1:18" ht="21" thickBot="1">
      <c r="B3" s="1870"/>
      <c r="C3" s="1870"/>
      <c r="D3" s="1870"/>
      <c r="E3" s="1870"/>
      <c r="F3" s="1870"/>
      <c r="G3" s="1870"/>
      <c r="H3" s="1870"/>
      <c r="I3" s="1870"/>
    </row>
    <row r="4" spans="1:18" ht="13.5" customHeight="1" thickTop="1">
      <c r="B4" s="1943"/>
      <c r="C4" s="1943"/>
      <c r="D4" s="1943"/>
      <c r="E4" s="1943"/>
      <c r="F4" s="1944"/>
      <c r="G4" s="1266"/>
      <c r="H4" s="1142"/>
      <c r="I4" s="1267"/>
    </row>
    <row r="5" spans="1:18" ht="13.5" customHeight="1">
      <c r="B5" s="1146"/>
      <c r="C5" s="1146"/>
      <c r="D5" s="1146"/>
      <c r="E5" s="1141"/>
      <c r="F5" s="1141"/>
      <c r="G5" s="1151" t="s">
        <v>533</v>
      </c>
      <c r="H5" s="1945" t="str">
        <f>'KEY INPUTS'!D34+1&amp;" Budget Requirements"</f>
        <v>2020 Budget Requirements</v>
      </c>
      <c r="I5" s="1946"/>
      <c r="J5" s="774"/>
    </row>
    <row r="6" spans="1:18" ht="13.5" customHeight="1">
      <c r="B6" s="1146"/>
      <c r="C6" s="1787" t="s">
        <v>532</v>
      </c>
      <c r="D6" s="1787"/>
      <c r="E6" s="1141"/>
      <c r="F6" s="1141"/>
      <c r="G6" s="1151" t="s">
        <v>549</v>
      </c>
      <c r="H6" s="1947"/>
      <c r="I6" s="1948"/>
      <c r="J6" s="774"/>
    </row>
    <row r="7" spans="1:18" ht="13.5" customHeight="1">
      <c r="B7" s="1146"/>
      <c r="C7" s="1146"/>
      <c r="D7" s="1146"/>
      <c r="E7" s="1141"/>
      <c r="F7" s="1271"/>
      <c r="G7" s="1272" t="str">
        <f>'KEY INPUTS'!D46</f>
        <v>Dec. 31, 2019</v>
      </c>
      <c r="H7" s="1147" t="s">
        <v>3449</v>
      </c>
      <c r="I7" s="1149" t="s">
        <v>550</v>
      </c>
      <c r="L7" s="322"/>
      <c r="M7" s="322"/>
      <c r="N7" s="322"/>
      <c r="O7" s="322"/>
      <c r="P7" s="322"/>
      <c r="Q7" s="322"/>
      <c r="R7" s="322"/>
    </row>
    <row r="8" spans="1:18" ht="13.5" customHeight="1" thickBot="1">
      <c r="B8" s="1153"/>
      <c r="C8" s="1153"/>
      <c r="D8" s="1153"/>
      <c r="E8" s="1153"/>
      <c r="F8" s="1273"/>
      <c r="G8" s="1274"/>
      <c r="H8" s="1155"/>
      <c r="I8" s="1275"/>
      <c r="L8" s="322"/>
      <c r="M8" s="322"/>
      <c r="N8" s="322"/>
      <c r="O8" s="322"/>
      <c r="P8" s="322"/>
      <c r="Q8" s="322"/>
      <c r="R8" s="322"/>
    </row>
    <row r="9" spans="1:18" ht="21" customHeight="1" thickTop="1">
      <c r="B9" s="1874"/>
      <c r="C9" s="1874"/>
      <c r="D9" s="1874"/>
      <c r="E9" s="1874"/>
      <c r="F9" s="1875"/>
      <c r="G9" s="801"/>
      <c r="H9" s="605"/>
      <c r="I9" s="802"/>
      <c r="L9" s="377"/>
      <c r="M9" s="322"/>
      <c r="N9" s="322"/>
      <c r="O9" s="322"/>
      <c r="P9" s="322"/>
      <c r="Q9" s="322"/>
      <c r="R9" s="322"/>
    </row>
    <row r="10" spans="1:18" ht="21" customHeight="1">
      <c r="B10" s="1876"/>
      <c r="C10" s="1876"/>
      <c r="D10" s="1876"/>
      <c r="E10" s="1876"/>
      <c r="F10" s="1877"/>
      <c r="G10" s="631"/>
      <c r="H10" s="601"/>
      <c r="I10" s="602"/>
      <c r="L10" s="322"/>
      <c r="M10" s="322"/>
      <c r="N10" s="322"/>
      <c r="O10" s="322"/>
      <c r="P10" s="322"/>
      <c r="Q10" s="322"/>
      <c r="R10" s="322"/>
    </row>
    <row r="11" spans="1:18" ht="21" customHeight="1">
      <c r="B11" s="1876"/>
      <c r="C11" s="1876"/>
      <c r="D11" s="1876"/>
      <c r="E11" s="1876"/>
      <c r="F11" s="1877"/>
      <c r="G11" s="631"/>
      <c r="H11" s="601"/>
      <c r="I11" s="602"/>
      <c r="L11" s="322"/>
      <c r="M11" s="322"/>
      <c r="N11" s="322"/>
      <c r="O11" s="322"/>
      <c r="P11" s="322"/>
      <c r="Q11" s="322"/>
      <c r="R11" s="322"/>
    </row>
    <row r="12" spans="1:18" ht="21" customHeight="1">
      <c r="B12" s="1876"/>
      <c r="C12" s="1876"/>
      <c r="D12" s="1876"/>
      <c r="E12" s="1876"/>
      <c r="F12" s="1877"/>
      <c r="G12" s="631"/>
      <c r="H12" s="601"/>
      <c r="I12" s="602"/>
      <c r="L12" s="322"/>
      <c r="M12" s="322"/>
      <c r="N12" s="322"/>
      <c r="O12" s="322"/>
      <c r="P12" s="322"/>
      <c r="Q12" s="322"/>
      <c r="R12" s="322"/>
    </row>
    <row r="13" spans="1:18" ht="21" customHeight="1">
      <c r="B13" s="1876"/>
      <c r="C13" s="1876"/>
      <c r="D13" s="1876"/>
      <c r="E13" s="1876"/>
      <c r="F13" s="1877"/>
      <c r="G13" s="631"/>
      <c r="H13" s="601"/>
      <c r="I13" s="602"/>
      <c r="L13" s="322"/>
      <c r="M13" s="322"/>
      <c r="N13" s="322"/>
      <c r="O13" s="322"/>
      <c r="P13" s="322"/>
      <c r="Q13" s="322"/>
      <c r="R13" s="322"/>
    </row>
    <row r="14" spans="1:18" ht="21" customHeight="1">
      <c r="B14" s="1876"/>
      <c r="C14" s="1876"/>
      <c r="D14" s="1876"/>
      <c r="E14" s="1876"/>
      <c r="F14" s="1877"/>
      <c r="G14" s="632"/>
      <c r="H14" s="601"/>
      <c r="I14" s="602"/>
      <c r="L14" s="322"/>
      <c r="M14" s="322"/>
      <c r="N14" s="322"/>
      <c r="O14" s="322"/>
      <c r="P14" s="322"/>
      <c r="Q14" s="322"/>
      <c r="R14" s="322"/>
    </row>
    <row r="15" spans="1:18" ht="21" customHeight="1">
      <c r="A15" s="1792" t="s">
        <v>3448</v>
      </c>
      <c r="B15" s="1876"/>
      <c r="C15" s="1876"/>
      <c r="D15" s="1876"/>
      <c r="E15" s="1876"/>
      <c r="F15" s="1877"/>
      <c r="G15" s="631"/>
      <c r="H15" s="601"/>
      <c r="I15" s="602"/>
      <c r="L15" s="322"/>
      <c r="M15" s="322"/>
      <c r="N15" s="322"/>
      <c r="O15" s="322"/>
      <c r="P15" s="322"/>
      <c r="Q15" s="322"/>
      <c r="R15" s="322"/>
    </row>
    <row r="16" spans="1:18" ht="21" customHeight="1">
      <c r="A16" s="1792"/>
      <c r="B16" s="1876"/>
      <c r="C16" s="1876"/>
      <c r="D16" s="1876"/>
      <c r="E16" s="1876"/>
      <c r="F16" s="1877"/>
      <c r="G16" s="631"/>
      <c r="H16" s="601"/>
      <c r="I16" s="602"/>
      <c r="L16" s="322"/>
      <c r="M16" s="322"/>
      <c r="N16" s="322"/>
      <c r="O16" s="322"/>
      <c r="P16" s="322"/>
      <c r="Q16" s="322"/>
      <c r="R16" s="322"/>
    </row>
    <row r="17" spans="1:18" ht="21" customHeight="1">
      <c r="A17" s="1792"/>
      <c r="B17" s="1876"/>
      <c r="C17" s="1876"/>
      <c r="D17" s="1876"/>
      <c r="E17" s="1876"/>
      <c r="F17" s="1877"/>
      <c r="G17" s="631"/>
      <c r="H17" s="601"/>
      <c r="I17" s="602"/>
      <c r="L17" s="322"/>
      <c r="M17" s="322"/>
      <c r="N17" s="322"/>
      <c r="O17" s="322"/>
      <c r="P17" s="322"/>
      <c r="Q17" s="322"/>
      <c r="R17" s="322"/>
    </row>
    <row r="18" spans="1:18" ht="21" customHeight="1">
      <c r="A18" s="545"/>
      <c r="B18" s="1876"/>
      <c r="C18" s="1876"/>
      <c r="D18" s="1876"/>
      <c r="E18" s="1876"/>
      <c r="F18" s="1877"/>
      <c r="G18" s="631"/>
      <c r="H18" s="601"/>
      <c r="I18" s="602"/>
      <c r="L18" s="322"/>
      <c r="M18" s="322"/>
      <c r="N18" s="322"/>
      <c r="O18" s="322"/>
      <c r="P18" s="322"/>
      <c r="Q18" s="322"/>
      <c r="R18" s="322"/>
    </row>
    <row r="19" spans="1:18" ht="21" customHeight="1">
      <c r="B19" s="1876"/>
      <c r="C19" s="1876"/>
      <c r="D19" s="1876"/>
      <c r="E19" s="1876"/>
      <c r="F19" s="1877"/>
      <c r="G19" s="631"/>
      <c r="H19" s="601"/>
      <c r="I19" s="602"/>
      <c r="L19" s="322"/>
      <c r="M19" s="322"/>
      <c r="N19" s="322"/>
      <c r="O19" s="322"/>
      <c r="P19" s="322"/>
      <c r="Q19" s="322"/>
      <c r="R19" s="322"/>
    </row>
    <row r="20" spans="1:18" ht="21" customHeight="1">
      <c r="B20" s="1876"/>
      <c r="C20" s="1876"/>
      <c r="D20" s="1876"/>
      <c r="E20" s="1876"/>
      <c r="F20" s="1877"/>
      <c r="G20" s="631"/>
      <c r="H20" s="601"/>
      <c r="I20" s="602"/>
      <c r="L20" s="322"/>
      <c r="M20" s="322"/>
      <c r="N20" s="322"/>
      <c r="O20" s="322"/>
      <c r="P20" s="322"/>
      <c r="Q20" s="322"/>
      <c r="R20" s="322"/>
    </row>
    <row r="21" spans="1:18" ht="21" customHeight="1">
      <c r="B21" s="1876"/>
      <c r="C21" s="1876"/>
      <c r="D21" s="1876"/>
      <c r="E21" s="1876"/>
      <c r="F21" s="1877"/>
      <c r="G21" s="631"/>
      <c r="H21" s="601"/>
      <c r="I21" s="602"/>
      <c r="L21" s="322"/>
      <c r="M21" s="322"/>
      <c r="N21" s="322"/>
      <c r="O21" s="322"/>
      <c r="P21" s="322"/>
      <c r="Q21" s="322"/>
      <c r="R21" s="322"/>
    </row>
    <row r="22" spans="1:18" ht="21" customHeight="1" thickBot="1">
      <c r="B22" s="1876"/>
      <c r="C22" s="1876"/>
      <c r="D22" s="1876"/>
      <c r="E22" s="1876"/>
      <c r="F22" s="1877"/>
      <c r="G22" s="633"/>
      <c r="H22" s="627"/>
      <c r="I22" s="634"/>
      <c r="L22" s="322"/>
      <c r="M22" s="322"/>
      <c r="N22" s="322"/>
      <c r="O22" s="322"/>
      <c r="P22" s="322"/>
      <c r="Q22" s="322"/>
      <c r="R22" s="322"/>
    </row>
    <row r="23" spans="1:18" ht="21" customHeight="1" thickTop="1" thickBot="1">
      <c r="B23" s="1256"/>
      <c r="C23" s="1162"/>
      <c r="D23" s="1373" t="s">
        <v>174</v>
      </c>
      <c r="E23" s="1059"/>
      <c r="F23" s="1273"/>
      <c r="G23" s="1374">
        <f>SUM(G9:G22)</f>
        <v>0</v>
      </c>
      <c r="H23" s="1083">
        <f>SUM(H9:H22)</f>
        <v>0</v>
      </c>
      <c r="I23" s="1161">
        <f>SUM(I9:I22)</f>
        <v>0</v>
      </c>
      <c r="L23" s="322"/>
      <c r="M23" s="322"/>
      <c r="N23" s="322"/>
      <c r="O23" s="322"/>
      <c r="P23" s="322"/>
      <c r="Q23" s="322"/>
      <c r="R23" s="322"/>
    </row>
    <row r="24" spans="1:18" ht="13.5" customHeight="1" thickTop="1">
      <c r="B24" s="803"/>
      <c r="C24" s="411"/>
      <c r="D24" s="804"/>
      <c r="H24" s="504"/>
      <c r="I24" s="504"/>
    </row>
    <row r="25" spans="1:18" ht="13.5" customHeight="1">
      <c r="B25" s="803"/>
      <c r="C25" s="411"/>
      <c r="D25" s="804"/>
    </row>
    <row r="26" spans="1:18" ht="13.5" customHeight="1">
      <c r="B26" s="803"/>
      <c r="C26" s="411"/>
      <c r="D26" s="804"/>
      <c r="H26" s="800"/>
    </row>
    <row r="27" spans="1:18">
      <c r="B27" s="541"/>
      <c r="C27" s="411"/>
      <c r="D27" s="411"/>
    </row>
  </sheetData>
  <sheetProtection algorithmName="SHA-512" hashValue="qQhB53Sxo984DEbpZdvS12q+gn4dhZgM7VbMjX+pEJlGWM7EwNgfA16SBoSqkq37v9QK+tX3G3gyUvP8EDtBwg==" saltValue="RISz5bUwL4nnRNTH4qqkIg=="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20">
    <mergeCell ref="B18:F18"/>
    <mergeCell ref="B19:F19"/>
    <mergeCell ref="B20:F20"/>
    <mergeCell ref="B21:F21"/>
    <mergeCell ref="B22:F22"/>
    <mergeCell ref="A15:A17"/>
    <mergeCell ref="B2:I2"/>
    <mergeCell ref="B3:I3"/>
    <mergeCell ref="B4:F4"/>
    <mergeCell ref="H5:I6"/>
    <mergeCell ref="C6:D6"/>
    <mergeCell ref="B9:F9"/>
    <mergeCell ref="B10:F10"/>
    <mergeCell ref="B11:F11"/>
    <mergeCell ref="B12:F12"/>
    <mergeCell ref="B13:F13"/>
    <mergeCell ref="B14:F14"/>
    <mergeCell ref="B15:F15"/>
    <mergeCell ref="B16:F16"/>
    <mergeCell ref="B17:F17"/>
  </mergeCells>
  <pageMargins left="0.25" right="0.25" top="0.5" bottom="0.5" header="0.25" footer="0.25"/>
  <pageSetup paperSize="5" orientation="landscape" r:id="rId5"/>
  <headerFooter alignWithMargins="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4">
    <tabColor theme="3"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INPUTS'!D53)&amp;"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701"/>
      <c r="C9" s="673"/>
      <c r="D9" s="676"/>
      <c r="E9" s="618"/>
      <c r="F9" s="618"/>
      <c r="G9" s="618"/>
      <c r="H9" s="618"/>
      <c r="I9" s="618"/>
      <c r="J9" s="618"/>
      <c r="K9" s="618"/>
      <c r="L9" s="630"/>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3450</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697</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5">
    <tabColor theme="3"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 &amp;UPPER('KEY INPUTS'!D53)&amp;"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+'52-Utility2'!E27</f>
        <v>0</v>
      </c>
      <c r="F9" s="1277">
        <f>+'52-Utility2'!F27</f>
        <v>0</v>
      </c>
      <c r="G9" s="1277">
        <f>+'52-Utility2'!G27</f>
        <v>0</v>
      </c>
      <c r="H9" s="1277">
        <f>+'52-Utility2'!H27</f>
        <v>0</v>
      </c>
      <c r="I9" s="1277">
        <f>+'52-Utility2'!I27</f>
        <v>0</v>
      </c>
      <c r="J9" s="1277">
        <f>+'52-Utility2'!J27</f>
        <v>0</v>
      </c>
      <c r="K9" s="1277">
        <f>+'52-Utility2'!K27</f>
        <v>0</v>
      </c>
      <c r="L9" s="1281">
        <f>+'52-Utility2'!L27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3651</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6">
    <tabColor theme="3"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 &amp;UPPER('KEY INPUTS'!D53)&amp;"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+'52.1-Utility2'!E27</f>
        <v>0</v>
      </c>
      <c r="F9" s="1277">
        <f>+'52.1-Utility2'!F27</f>
        <v>0</v>
      </c>
      <c r="G9" s="1277">
        <f>+'52.1-Utility2'!G27</f>
        <v>0</v>
      </c>
      <c r="H9" s="1277">
        <f>+'52.1-Utility2'!H27</f>
        <v>0</v>
      </c>
      <c r="I9" s="1277">
        <f>+'52.1-Utility2'!I27</f>
        <v>0</v>
      </c>
      <c r="J9" s="1277">
        <f>+'52.1-Utility2'!J27</f>
        <v>0</v>
      </c>
      <c r="K9" s="1277">
        <f>+'52.1-Utility2'!K27</f>
        <v>0</v>
      </c>
      <c r="L9" s="1281">
        <f>+'52.1-Utility2'!L27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3652</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7">
    <tabColor theme="3"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 &amp;UPPER('KEY INPUTS'!D53)&amp;"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+'52.2-Utility2'!E27</f>
        <v>0</v>
      </c>
      <c r="F9" s="1277">
        <f>+'52.2-Utility2'!F27</f>
        <v>0</v>
      </c>
      <c r="G9" s="1277">
        <f>+'52.2-Utility2'!G27</f>
        <v>0</v>
      </c>
      <c r="H9" s="1277">
        <f>+'52.2-Utility2'!H27</f>
        <v>0</v>
      </c>
      <c r="I9" s="1277">
        <f>+'52.2-Utility2'!I27</f>
        <v>0</v>
      </c>
      <c r="J9" s="1277">
        <f>+'52.2-Utility2'!J27</f>
        <v>0</v>
      </c>
      <c r="K9" s="1277">
        <f>+'52.2-Utility2'!K27</f>
        <v>0</v>
      </c>
      <c r="L9" s="1281">
        <f>+'52.2-Utility2'!L27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3653</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8">
    <tabColor theme="3"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 &amp;UPPER('KEY INPUTS'!D53)&amp;"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+'52.2-Utility2'!E27</f>
        <v>0</v>
      </c>
      <c r="F9" s="1277">
        <f>+'52.2-Utility2'!F27</f>
        <v>0</v>
      </c>
      <c r="G9" s="1277">
        <f>+'52.2-Utility2'!G27</f>
        <v>0</v>
      </c>
      <c r="H9" s="1277">
        <f>+'52.2-Utility2'!H27</f>
        <v>0</v>
      </c>
      <c r="I9" s="1277">
        <f>+'52.2-Utility2'!I27</f>
        <v>0</v>
      </c>
      <c r="J9" s="1277">
        <f>+'52.2-Utility2'!J27</f>
        <v>0</v>
      </c>
      <c r="K9" s="1277">
        <f>+'52.2-Utility2'!K27</f>
        <v>0</v>
      </c>
      <c r="L9" s="1281">
        <f>+'52.2-Utility2'!L27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3656</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544"/>
      <c r="C27" s="413"/>
      <c r="D27" s="514" t="s">
        <v>1000</v>
      </c>
      <c r="E27" s="137">
        <f t="shared" ref="E27:L27" si="0">SUM(E9:E26)</f>
        <v>0</v>
      </c>
      <c r="F27" s="137">
        <f t="shared" si="0"/>
        <v>0</v>
      </c>
      <c r="G27" s="137">
        <f t="shared" si="0"/>
        <v>0</v>
      </c>
      <c r="H27" s="137">
        <f t="shared" si="0"/>
        <v>0</v>
      </c>
      <c r="I27" s="137">
        <f t="shared" si="0"/>
        <v>0</v>
      </c>
      <c r="J27" s="137">
        <f t="shared" si="0"/>
        <v>0</v>
      </c>
      <c r="K27" s="137">
        <f t="shared" si="0"/>
        <v>0</v>
      </c>
      <c r="L27" s="157">
        <f t="shared" si="0"/>
        <v>0</v>
      </c>
    </row>
    <row r="28" spans="1:21" ht="13.5" customHeight="1" thickTop="1">
      <c r="B28" s="549"/>
      <c r="C28" s="548" t="s">
        <v>663</v>
      </c>
      <c r="D28" s="547"/>
      <c r="E28" s="510"/>
      <c r="F28" s="510"/>
      <c r="G28" s="510"/>
      <c r="H28" s="510"/>
      <c r="I28" s="510"/>
      <c r="J28" s="510"/>
      <c r="K28" s="543"/>
      <c r="L28" s="543"/>
    </row>
    <row r="42" spans="11:12">
      <c r="K42" s="331" t="s">
        <v>3492</v>
      </c>
      <c r="L42" s="553">
        <f>K27+L27</f>
        <v>0</v>
      </c>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92D050"/>
  </sheetPr>
  <dimension ref="B1:P87"/>
  <sheetViews>
    <sheetView workbookViewId="0">
      <selection activeCell="B14" sqref="B14"/>
    </sheetView>
  </sheetViews>
  <sheetFormatPr defaultRowHeight="13.2"/>
  <cols>
    <col min="1" max="2" width="4.6640625" customWidth="1"/>
    <col min="3" max="3" width="4.5546875" customWidth="1"/>
    <col min="4" max="4" width="4.6640625" customWidth="1"/>
  </cols>
  <sheetData>
    <row r="1" spans="2:13" ht="6" customHeight="1"/>
    <row r="2" spans="2:13" ht="18" customHeight="1">
      <c r="B2" s="1508" t="s">
        <v>1059</v>
      </c>
      <c r="C2" s="1508"/>
      <c r="D2" s="1508"/>
      <c r="E2" s="1508"/>
      <c r="F2" s="1508"/>
      <c r="G2" s="1508"/>
      <c r="H2" s="1508"/>
      <c r="I2" s="1508"/>
      <c r="J2" s="1508"/>
      <c r="K2" s="1508"/>
      <c r="L2" s="1508"/>
      <c r="M2" s="1508"/>
    </row>
    <row r="3" spans="2:13" ht="18" customHeight="1">
      <c r="B3" s="1508" t="str">
        <f>"ANNUAL  FINANCIAL  STATEMENT  OF   "&amp;TEXT('KEY INPUTS'!D34,"0")</f>
        <v>ANNUAL  FINANCIAL  STATEMENT  OF   2019</v>
      </c>
      <c r="C3" s="1508"/>
      <c r="D3" s="1508"/>
      <c r="E3" s="1508"/>
      <c r="F3" s="1508"/>
      <c r="G3" s="1508"/>
      <c r="H3" s="1508"/>
      <c r="I3" s="1508"/>
      <c r="J3" s="1508"/>
      <c r="K3" s="1508"/>
      <c r="L3" s="1508"/>
      <c r="M3" s="1508"/>
    </row>
    <row r="5" spans="2:13" ht="11.25" customHeight="1">
      <c r="B5" s="100"/>
      <c r="C5" s="100" t="s">
        <v>645</v>
      </c>
    </row>
    <row r="6" spans="2:13" ht="11.25" customHeight="1">
      <c r="B6" s="100" t="s">
        <v>1060</v>
      </c>
      <c r="C6" s="100"/>
    </row>
    <row r="7" spans="2:13" ht="11.25" customHeight="1">
      <c r="B7" s="100" t="s">
        <v>1061</v>
      </c>
      <c r="C7" s="100"/>
    </row>
    <row r="8" spans="2:13" ht="6" customHeight="1"/>
    <row r="9" spans="2:13" ht="11.25" customHeight="1">
      <c r="B9" s="100"/>
      <c r="C9" s="100" t="s">
        <v>1062</v>
      </c>
    </row>
    <row r="10" spans="2:13" ht="11.25" customHeight="1">
      <c r="B10" s="100" t="s">
        <v>1063</v>
      </c>
      <c r="C10" s="100"/>
    </row>
    <row r="11" spans="2:13" ht="11.25" customHeight="1">
      <c r="B11" s="100" t="s">
        <v>1064</v>
      </c>
      <c r="C11" s="100"/>
    </row>
    <row r="12" spans="2:13" ht="6" customHeight="1"/>
    <row r="13" spans="2:13" ht="11.25" customHeight="1">
      <c r="B13" s="100"/>
      <c r="C13" s="100" t="s">
        <v>887</v>
      </c>
    </row>
    <row r="14" spans="2:13" ht="11.25" customHeight="1">
      <c r="B14" s="100" t="s">
        <v>888</v>
      </c>
      <c r="C14" s="100"/>
    </row>
    <row r="15" spans="2:13" ht="8.25" customHeight="1"/>
    <row r="16" spans="2:13" ht="8.25" customHeight="1"/>
    <row r="17" spans="2:16" ht="13.5" customHeight="1">
      <c r="B17" s="1509" t="s">
        <v>889</v>
      </c>
      <c r="C17" s="1509"/>
      <c r="D17" s="1509"/>
      <c r="E17" s="1509"/>
      <c r="F17" s="1509"/>
      <c r="G17" s="1509"/>
      <c r="H17" s="1509"/>
      <c r="I17" s="1509"/>
      <c r="J17" s="1509"/>
      <c r="K17" s="1509"/>
      <c r="L17" s="1509"/>
      <c r="M17" s="1509"/>
    </row>
    <row r="18" spans="2:16" ht="4.5" customHeight="1"/>
    <row r="19" spans="2:16" ht="10.5" customHeight="1">
      <c r="B19" s="194" t="s">
        <v>890</v>
      </c>
      <c r="C19" s="194"/>
      <c r="D19" s="100" t="s">
        <v>891</v>
      </c>
    </row>
    <row r="20" spans="2:16" ht="10.5" customHeight="1">
      <c r="B20" s="194" t="s">
        <v>893</v>
      </c>
      <c r="C20" s="194"/>
      <c r="D20" s="100" t="s">
        <v>646</v>
      </c>
    </row>
    <row r="21" spans="2:16" ht="10.5" customHeight="1">
      <c r="B21" s="194" t="s">
        <v>892</v>
      </c>
      <c r="C21" s="194"/>
      <c r="D21" s="100" t="s">
        <v>647</v>
      </c>
    </row>
    <row r="22" spans="2:16" ht="10.5" customHeight="1">
      <c r="B22" s="194" t="s">
        <v>385</v>
      </c>
      <c r="C22" s="194"/>
      <c r="D22" s="100" t="s">
        <v>648</v>
      </c>
    </row>
    <row r="23" spans="2:16" ht="10.5" customHeight="1">
      <c r="B23" s="194" t="s">
        <v>3469</v>
      </c>
      <c r="C23" s="194"/>
      <c r="D23" s="100" t="s">
        <v>649</v>
      </c>
    </row>
    <row r="24" spans="2:16" ht="10.5" customHeight="1">
      <c r="B24" s="194" t="s">
        <v>387</v>
      </c>
      <c r="C24" s="194"/>
      <c r="D24" s="100" t="s">
        <v>650</v>
      </c>
      <c r="P24" s="285"/>
    </row>
    <row r="25" spans="2:16" ht="10.5" customHeight="1">
      <c r="B25" s="194" t="s">
        <v>388</v>
      </c>
      <c r="C25" s="194"/>
      <c r="D25" s="100" t="s">
        <v>651</v>
      </c>
    </row>
    <row r="26" spans="2:16" ht="10.5" customHeight="1">
      <c r="B26" s="194" t="s">
        <v>72</v>
      </c>
      <c r="C26" s="194"/>
      <c r="D26" s="100" t="s">
        <v>74</v>
      </c>
    </row>
    <row r="27" spans="2:16" ht="10.5" customHeight="1">
      <c r="B27" s="194" t="s">
        <v>894</v>
      </c>
      <c r="C27" s="194"/>
      <c r="D27" s="100" t="s">
        <v>611</v>
      </c>
    </row>
    <row r="28" spans="2:16" ht="10.5" customHeight="1">
      <c r="B28" s="194" t="s">
        <v>390</v>
      </c>
      <c r="C28" s="194"/>
      <c r="D28" s="100" t="s">
        <v>248</v>
      </c>
    </row>
    <row r="29" spans="2:16" ht="10.5" customHeight="1">
      <c r="B29" s="194" t="s">
        <v>501</v>
      </c>
      <c r="C29" s="194"/>
      <c r="D29" s="100" t="s">
        <v>136</v>
      </c>
    </row>
    <row r="30" spans="2:16" ht="10.5" customHeight="1">
      <c r="B30" s="194" t="s">
        <v>895</v>
      </c>
      <c r="C30" s="194"/>
      <c r="D30" s="100" t="s">
        <v>137</v>
      </c>
    </row>
    <row r="31" spans="2:16" ht="10.5" customHeight="1">
      <c r="B31" s="194" t="s">
        <v>503</v>
      </c>
      <c r="C31" s="194"/>
      <c r="D31" s="100" t="s">
        <v>592</v>
      </c>
    </row>
    <row r="32" spans="2:16" ht="10.5" customHeight="1">
      <c r="B32" s="194" t="s">
        <v>896</v>
      </c>
      <c r="C32" s="194"/>
      <c r="D32" s="100" t="s">
        <v>593</v>
      </c>
    </row>
    <row r="33" spans="2:4" ht="10.5" customHeight="1">
      <c r="B33" s="194" t="s">
        <v>290</v>
      </c>
      <c r="C33" s="194"/>
      <c r="D33" s="100" t="s">
        <v>594</v>
      </c>
    </row>
    <row r="34" spans="2:4" ht="10.5" customHeight="1">
      <c r="B34" s="194" t="s">
        <v>292</v>
      </c>
      <c r="C34" s="194"/>
      <c r="D34" s="100" t="s">
        <v>570</v>
      </c>
    </row>
    <row r="35" spans="2:4" ht="10.5" customHeight="1">
      <c r="B35" s="194" t="s">
        <v>719</v>
      </c>
      <c r="C35" s="194"/>
      <c r="D35" s="100" t="s">
        <v>595</v>
      </c>
    </row>
    <row r="36" spans="2:4" ht="10.5" customHeight="1">
      <c r="B36" s="194" t="s">
        <v>633</v>
      </c>
      <c r="C36" s="194"/>
      <c r="D36" s="100" t="s">
        <v>596</v>
      </c>
    </row>
    <row r="37" spans="2:4" ht="10.5" customHeight="1">
      <c r="B37" s="194" t="s">
        <v>504</v>
      </c>
      <c r="C37" s="194"/>
      <c r="D37" s="100" t="s">
        <v>597</v>
      </c>
    </row>
    <row r="38" spans="2:4" ht="10.5" customHeight="1">
      <c r="B38" s="194" t="s">
        <v>637</v>
      </c>
      <c r="C38" s="194"/>
      <c r="D38" s="100" t="s">
        <v>598</v>
      </c>
    </row>
    <row r="39" spans="2:4" ht="10.5" customHeight="1">
      <c r="B39" s="194" t="s">
        <v>1107</v>
      </c>
      <c r="C39" s="194"/>
      <c r="D39" s="100" t="s">
        <v>599</v>
      </c>
    </row>
    <row r="40" spans="2:4" ht="10.5" customHeight="1">
      <c r="B40" s="194" t="s">
        <v>1107</v>
      </c>
      <c r="C40" s="194"/>
      <c r="D40" s="100" t="s">
        <v>600</v>
      </c>
    </row>
    <row r="41" spans="2:4" ht="10.5" customHeight="1">
      <c r="B41" s="194" t="s">
        <v>1108</v>
      </c>
      <c r="C41" s="194"/>
      <c r="D41" s="100" t="str">
        <f>"Results of "&amp;TEXT('KEY INPUTS'!D34,"0")&amp;" Operation-Current Fund"</f>
        <v>Results of 2019 Operation-Current Fund</v>
      </c>
    </row>
    <row r="42" spans="2:4" ht="10.5" customHeight="1">
      <c r="B42" s="194" t="s">
        <v>1116</v>
      </c>
      <c r="C42" s="194"/>
      <c r="D42" s="100" t="s">
        <v>601</v>
      </c>
    </row>
    <row r="43" spans="2:4" ht="10.5" customHeight="1">
      <c r="B43" s="194" t="s">
        <v>1117</v>
      </c>
      <c r="C43" s="194"/>
      <c r="D43" s="100" t="s">
        <v>602</v>
      </c>
    </row>
    <row r="44" spans="2:4" ht="10.5" customHeight="1">
      <c r="B44" s="194" t="s">
        <v>1118</v>
      </c>
      <c r="C44" s="194"/>
      <c r="D44" s="100" t="s">
        <v>716</v>
      </c>
    </row>
    <row r="45" spans="2:4" ht="10.5" customHeight="1">
      <c r="B45" s="194" t="s">
        <v>505</v>
      </c>
      <c r="C45" s="194"/>
      <c r="D45" s="100" t="str">
        <f>"Accelerated Tax Sale/Tax Levy Sale Chapter 99 To Calculate Underlying Tax Collection Rate for "&amp;TEXT('KEY INPUTS'!D34,"0")</f>
        <v>Accelerated Tax Sale/Tax Levy Sale Chapter 99 To Calculate Underlying Tax Collection Rate for 2019</v>
      </c>
    </row>
    <row r="46" spans="2:4" ht="10.5" customHeight="1">
      <c r="B46" s="194" t="s">
        <v>1119</v>
      </c>
      <c r="C46" s="194"/>
      <c r="D46" s="100" t="s">
        <v>717</v>
      </c>
    </row>
    <row r="47" spans="2:4" ht="10.5" customHeight="1">
      <c r="B47" s="194" t="s">
        <v>1120</v>
      </c>
      <c r="C47" s="194"/>
      <c r="D47" s="100" t="s">
        <v>207</v>
      </c>
    </row>
    <row r="48" spans="2:4" ht="10.5" customHeight="1">
      <c r="B48" s="194" t="s">
        <v>506</v>
      </c>
      <c r="C48" s="194"/>
      <c r="D48" s="100" t="s">
        <v>241</v>
      </c>
    </row>
    <row r="49" spans="2:10" ht="10.5" customHeight="1">
      <c r="B49" s="194" t="s">
        <v>507</v>
      </c>
      <c r="C49" s="194"/>
      <c r="D49" s="100" t="s">
        <v>242</v>
      </c>
    </row>
    <row r="50" spans="2:10" ht="10.5" customHeight="1">
      <c r="B50" s="194"/>
      <c r="C50" s="194"/>
      <c r="D50" s="100" t="s">
        <v>243</v>
      </c>
    </row>
    <row r="51" spans="2:10" ht="10.5" customHeight="1">
      <c r="B51" s="194" t="s">
        <v>508</v>
      </c>
      <c r="C51" s="194"/>
      <c r="D51" s="100" t="s">
        <v>244</v>
      </c>
    </row>
    <row r="52" spans="2:10" ht="10.5" customHeight="1">
      <c r="B52" s="194" t="s">
        <v>509</v>
      </c>
      <c r="C52" s="194"/>
      <c r="D52" s="100" t="s">
        <v>245</v>
      </c>
    </row>
    <row r="53" spans="2:10" ht="10.5" customHeight="1">
      <c r="B53" s="194" t="s">
        <v>510</v>
      </c>
      <c r="C53" s="194"/>
      <c r="D53" s="100" t="s">
        <v>246</v>
      </c>
      <c r="E53" s="100"/>
      <c r="F53" s="100"/>
      <c r="G53" s="100"/>
      <c r="H53" s="100"/>
      <c r="I53" s="100"/>
      <c r="J53" s="100"/>
    </row>
    <row r="54" spans="2:10" ht="10.5" customHeight="1">
      <c r="B54" s="194" t="s">
        <v>511</v>
      </c>
      <c r="C54" s="194"/>
      <c r="D54" s="100" t="s">
        <v>247</v>
      </c>
      <c r="E54" s="100"/>
      <c r="F54" s="100"/>
      <c r="G54" s="100"/>
      <c r="H54" s="100"/>
      <c r="I54" s="100"/>
      <c r="J54" s="100"/>
    </row>
    <row r="55" spans="2:10" ht="10.5" customHeight="1">
      <c r="B55" s="194"/>
      <c r="C55" s="194"/>
      <c r="D55" s="100" t="s">
        <v>737</v>
      </c>
      <c r="E55" s="100"/>
      <c r="F55" s="100"/>
      <c r="G55" s="100"/>
      <c r="H55" s="100"/>
      <c r="I55" s="100"/>
      <c r="J55" s="100"/>
    </row>
    <row r="56" spans="2:10" ht="10.5" customHeight="1">
      <c r="B56" s="194"/>
      <c r="C56" s="194"/>
      <c r="D56" s="100" t="s">
        <v>885</v>
      </c>
      <c r="E56" s="100"/>
      <c r="F56" s="100"/>
      <c r="G56" s="100"/>
      <c r="H56" s="100"/>
      <c r="I56" s="100"/>
      <c r="J56" s="100"/>
    </row>
    <row r="57" spans="2:10" ht="10.5" customHeight="1">
      <c r="B57" s="194" t="s">
        <v>512</v>
      </c>
      <c r="C57" s="194"/>
      <c r="D57" s="100" t="s">
        <v>520</v>
      </c>
      <c r="E57" s="100"/>
      <c r="F57" s="100"/>
      <c r="G57" s="100"/>
      <c r="H57" s="100"/>
      <c r="I57" s="100"/>
      <c r="J57" s="100"/>
    </row>
    <row r="58" spans="2:10" ht="10.5" customHeight="1">
      <c r="B58" s="194" t="s">
        <v>832</v>
      </c>
      <c r="C58" s="194"/>
      <c r="D58" s="100" t="s">
        <v>732</v>
      </c>
      <c r="E58" s="100"/>
      <c r="F58" s="100"/>
      <c r="G58" s="100"/>
      <c r="H58" s="100"/>
      <c r="I58" s="100"/>
      <c r="J58" s="100"/>
    </row>
    <row r="59" spans="2:10" ht="10.5" customHeight="1">
      <c r="B59" s="194" t="s">
        <v>513</v>
      </c>
      <c r="C59" s="194"/>
      <c r="D59" s="100" t="s">
        <v>733</v>
      </c>
      <c r="E59" s="100"/>
      <c r="F59" s="100"/>
      <c r="G59" s="100"/>
      <c r="H59" s="100"/>
      <c r="I59" s="100"/>
      <c r="J59" s="100"/>
    </row>
    <row r="60" spans="2:10" ht="10.5" customHeight="1">
      <c r="B60" s="194" t="s">
        <v>514</v>
      </c>
      <c r="C60" s="194"/>
      <c r="D60" s="100" t="s">
        <v>734</v>
      </c>
      <c r="E60" s="100"/>
      <c r="F60" s="100"/>
      <c r="G60" s="100"/>
      <c r="H60" s="100"/>
      <c r="I60" s="100"/>
      <c r="J60" s="100"/>
    </row>
    <row r="61" spans="2:10" ht="10.5" customHeight="1">
      <c r="B61" s="194" t="s">
        <v>75</v>
      </c>
      <c r="C61" s="194"/>
      <c r="D61" s="100" t="s">
        <v>76</v>
      </c>
      <c r="E61" s="100"/>
      <c r="F61" s="100"/>
      <c r="G61" s="100"/>
      <c r="H61" s="100"/>
      <c r="I61" s="100"/>
      <c r="J61" s="100"/>
    </row>
    <row r="62" spans="2:10" ht="10.5" customHeight="1">
      <c r="B62" s="194" t="s">
        <v>515</v>
      </c>
      <c r="C62" s="194"/>
      <c r="D62" s="100" t="s">
        <v>735</v>
      </c>
      <c r="E62" s="100"/>
      <c r="F62" s="100"/>
      <c r="G62" s="100"/>
      <c r="H62" s="100"/>
      <c r="I62" s="100"/>
      <c r="J62" s="100"/>
    </row>
    <row r="63" spans="2:10" ht="10.5" customHeight="1">
      <c r="B63" s="194" t="s">
        <v>516</v>
      </c>
      <c r="C63" s="194"/>
      <c r="D63" s="100" t="s">
        <v>736</v>
      </c>
      <c r="E63" s="100"/>
      <c r="F63" s="100"/>
      <c r="G63" s="100"/>
      <c r="H63" s="100"/>
      <c r="I63" s="100"/>
      <c r="J63" s="100"/>
    </row>
    <row r="64" spans="2:10" ht="10.5" customHeight="1">
      <c r="B64" s="194" t="s">
        <v>517</v>
      </c>
      <c r="C64" s="194"/>
      <c r="D64" s="100" t="s">
        <v>265</v>
      </c>
      <c r="E64" s="100"/>
      <c r="F64" s="100"/>
      <c r="G64" s="100"/>
      <c r="H64" s="100"/>
      <c r="I64" s="100"/>
      <c r="J64" s="100"/>
    </row>
    <row r="65" spans="2:13" ht="10.5" customHeight="1">
      <c r="B65" s="194" t="s">
        <v>517</v>
      </c>
      <c r="C65" s="194"/>
      <c r="D65" s="100" t="str">
        <f>"Capital Improvements Authorized in  "&amp;TEXT('KEY INPUTS'!D34,"0")</f>
        <v>Capital Improvements Authorized in  2019</v>
      </c>
      <c r="E65" s="100"/>
      <c r="F65" s="100"/>
      <c r="G65" s="100"/>
      <c r="H65" s="100"/>
      <c r="I65" s="100"/>
      <c r="J65" s="100"/>
    </row>
    <row r="66" spans="2:13" ht="10.5" customHeight="1">
      <c r="B66" s="194" t="s">
        <v>518</v>
      </c>
      <c r="C66" s="194"/>
      <c r="D66" s="100" t="s">
        <v>738</v>
      </c>
      <c r="E66" s="100"/>
      <c r="F66" s="100"/>
      <c r="G66" s="100"/>
      <c r="H66" s="100"/>
      <c r="I66" s="100"/>
      <c r="J66" s="100"/>
    </row>
    <row r="67" spans="2:13" ht="10.5" customHeight="1">
      <c r="B67" s="194" t="s">
        <v>519</v>
      </c>
      <c r="C67" s="194"/>
      <c r="D67" s="100" t="s">
        <v>739</v>
      </c>
      <c r="E67" s="100"/>
      <c r="F67" s="100"/>
      <c r="G67" s="100"/>
      <c r="H67" s="100"/>
      <c r="I67" s="100"/>
      <c r="J67" s="100"/>
    </row>
    <row r="68" spans="2:13">
      <c r="B68" s="194"/>
      <c r="C68" s="194"/>
    </row>
    <row r="69" spans="2:13">
      <c r="B69" s="1510" t="s">
        <v>33</v>
      </c>
      <c r="C69" s="1510"/>
      <c r="D69" s="1510"/>
      <c r="E69" s="1510"/>
      <c r="F69" s="1510"/>
      <c r="G69" s="1510"/>
      <c r="H69" s="1510"/>
      <c r="I69" s="1510"/>
      <c r="J69" s="1510"/>
      <c r="K69" s="1510"/>
      <c r="L69" s="1510"/>
      <c r="M69" s="1510"/>
    </row>
    <row r="70" spans="2:13" ht="10.5" customHeight="1">
      <c r="B70" s="162" t="s">
        <v>521</v>
      </c>
      <c r="C70" s="162"/>
      <c r="D70" s="162" t="s">
        <v>32</v>
      </c>
      <c r="E70" s="210"/>
      <c r="F70" s="196"/>
      <c r="G70" s="196"/>
      <c r="H70" s="196"/>
      <c r="I70" s="196"/>
      <c r="J70" s="196"/>
      <c r="K70" s="196"/>
      <c r="L70" s="196"/>
      <c r="M70" s="196"/>
    </row>
    <row r="71" spans="2:13" ht="10.5" customHeight="1">
      <c r="B71" s="162" t="s">
        <v>523</v>
      </c>
      <c r="C71" s="162"/>
      <c r="D71" s="162" t="s">
        <v>740</v>
      </c>
      <c r="E71" s="210"/>
      <c r="F71" s="196"/>
      <c r="G71" s="196"/>
      <c r="H71" s="196"/>
      <c r="I71" s="196"/>
      <c r="J71" s="196"/>
      <c r="K71" s="196"/>
      <c r="L71" s="196"/>
      <c r="M71" s="196"/>
    </row>
    <row r="72" spans="2:13" ht="10.5" customHeight="1">
      <c r="B72" s="162" t="s">
        <v>524</v>
      </c>
      <c r="C72" s="162"/>
      <c r="D72" s="162" t="s">
        <v>741</v>
      </c>
      <c r="E72" s="210"/>
      <c r="F72" s="196"/>
      <c r="G72" s="196"/>
      <c r="H72" s="196"/>
      <c r="I72" s="196"/>
      <c r="J72" s="196"/>
      <c r="K72" s="196"/>
      <c r="L72" s="196"/>
      <c r="M72" s="196"/>
    </row>
    <row r="73" spans="2:13" ht="10.5" customHeight="1">
      <c r="B73" s="162" t="s">
        <v>525</v>
      </c>
      <c r="C73" s="162"/>
      <c r="D73" s="162" t="s">
        <v>742</v>
      </c>
      <c r="E73" s="210"/>
      <c r="F73" s="196"/>
      <c r="G73" s="196"/>
      <c r="H73" s="196"/>
      <c r="I73" s="196"/>
      <c r="J73" s="196"/>
      <c r="K73" s="196"/>
      <c r="L73" s="196"/>
      <c r="M73" s="196"/>
    </row>
    <row r="74" spans="2:13" ht="10.5" customHeight="1">
      <c r="B74" s="162" t="s">
        <v>527</v>
      </c>
      <c r="C74" s="162"/>
      <c r="D74" s="162" t="s">
        <v>743</v>
      </c>
      <c r="E74" s="210"/>
      <c r="F74" s="196"/>
      <c r="G74" s="196"/>
      <c r="H74" s="196"/>
      <c r="I74" s="196"/>
      <c r="J74" s="196"/>
      <c r="K74" s="196"/>
      <c r="L74" s="196"/>
      <c r="M74" s="196"/>
    </row>
    <row r="75" spans="2:13" ht="10.5" customHeight="1">
      <c r="B75" s="162" t="s">
        <v>526</v>
      </c>
      <c r="C75" s="162"/>
      <c r="D75" s="307" t="str">
        <f>TEXT('KEY INPUTS'!D34,"0")&amp;" Utility Operations"</f>
        <v>2019 Utility Operations</v>
      </c>
      <c r="E75" s="210"/>
      <c r="F75" s="196"/>
      <c r="G75" s="196"/>
      <c r="H75" s="196"/>
      <c r="I75" s="196"/>
      <c r="J75" s="196"/>
      <c r="K75" s="196"/>
      <c r="L75" s="196"/>
      <c r="M75" s="196"/>
    </row>
    <row r="76" spans="2:13" ht="10.5" customHeight="1">
      <c r="B76" s="162" t="s">
        <v>528</v>
      </c>
      <c r="C76" s="162"/>
      <c r="D76" s="162" t="s">
        <v>57</v>
      </c>
      <c r="E76" s="210"/>
      <c r="F76" s="196"/>
      <c r="G76" s="196"/>
      <c r="H76" s="196"/>
      <c r="I76" s="196"/>
      <c r="J76" s="196"/>
      <c r="K76" s="196"/>
      <c r="L76" s="196"/>
      <c r="M76" s="196"/>
    </row>
    <row r="77" spans="2:13" ht="10.5" customHeight="1">
      <c r="B77" s="162" t="s">
        <v>529</v>
      </c>
      <c r="C77" s="162"/>
      <c r="D77" s="162" t="s">
        <v>58</v>
      </c>
      <c r="E77" s="210"/>
      <c r="F77" s="196"/>
      <c r="G77" s="196"/>
      <c r="H77" s="196"/>
      <c r="I77" s="196"/>
      <c r="J77" s="196"/>
      <c r="K77" s="196"/>
      <c r="L77" s="196"/>
      <c r="M77" s="196"/>
    </row>
    <row r="78" spans="2:13" ht="10.5" customHeight="1">
      <c r="B78" s="162" t="s">
        <v>25</v>
      </c>
      <c r="C78" s="162"/>
      <c r="D78" s="162" t="s">
        <v>59</v>
      </c>
      <c r="E78" s="210"/>
      <c r="F78" s="196"/>
      <c r="G78" s="196"/>
      <c r="H78" s="196"/>
      <c r="I78" s="196"/>
      <c r="J78" s="196"/>
      <c r="K78" s="196"/>
      <c r="L78" s="196"/>
      <c r="M78" s="196"/>
    </row>
    <row r="79" spans="2:13" ht="10.5" customHeight="1">
      <c r="B79" s="162" t="s">
        <v>26</v>
      </c>
      <c r="C79" s="162"/>
      <c r="D79" s="162" t="s">
        <v>60</v>
      </c>
      <c r="E79" s="210"/>
      <c r="F79" s="196"/>
      <c r="G79" s="196"/>
      <c r="H79" s="196"/>
      <c r="I79" s="196"/>
      <c r="J79" s="196"/>
      <c r="K79" s="196"/>
      <c r="L79" s="196"/>
      <c r="M79" s="196"/>
    </row>
    <row r="80" spans="2:13" ht="10.5" customHeight="1">
      <c r="B80" s="162" t="s">
        <v>833</v>
      </c>
      <c r="C80" s="162"/>
      <c r="D80" s="162" t="s">
        <v>834</v>
      </c>
      <c r="E80" s="210"/>
      <c r="F80" s="196"/>
      <c r="G80" s="196"/>
      <c r="H80" s="196"/>
      <c r="I80" s="196"/>
      <c r="J80" s="196"/>
      <c r="K80" s="196"/>
      <c r="L80" s="196"/>
      <c r="M80" s="196"/>
    </row>
    <row r="81" spans="2:13" ht="10.5" customHeight="1">
      <c r="B81" s="162" t="s">
        <v>27</v>
      </c>
      <c r="C81" s="162"/>
      <c r="D81" s="162" t="s">
        <v>744</v>
      </c>
      <c r="E81" s="210"/>
      <c r="F81" s="196"/>
      <c r="G81" s="196"/>
      <c r="H81" s="196"/>
      <c r="I81" s="196"/>
      <c r="J81" s="196"/>
      <c r="K81" s="196"/>
      <c r="L81" s="196"/>
      <c r="M81" s="196"/>
    </row>
    <row r="82" spans="2:13" ht="10.5" customHeight="1">
      <c r="B82" s="162" t="s">
        <v>28</v>
      </c>
      <c r="C82" s="162"/>
      <c r="D82" s="162" t="s">
        <v>745</v>
      </c>
      <c r="E82" s="210"/>
      <c r="F82" s="196"/>
      <c r="G82" s="196"/>
      <c r="H82" s="196"/>
      <c r="I82" s="196"/>
      <c r="J82" s="196"/>
      <c r="K82" s="196"/>
      <c r="L82" s="196"/>
      <c r="M82" s="196"/>
    </row>
    <row r="83" spans="2:13" ht="10.5" customHeight="1">
      <c r="B83" s="162" t="s">
        <v>77</v>
      </c>
      <c r="C83" s="162"/>
      <c r="D83" s="162" t="s">
        <v>78</v>
      </c>
      <c r="E83" s="210"/>
      <c r="F83" s="196"/>
      <c r="G83" s="196"/>
      <c r="H83" s="196"/>
      <c r="I83" s="196"/>
      <c r="J83" s="196"/>
      <c r="K83" s="196"/>
      <c r="L83" s="196"/>
      <c r="M83" s="196"/>
    </row>
    <row r="84" spans="2:13" ht="10.5" customHeight="1">
      <c r="B84" s="162" t="s">
        <v>29</v>
      </c>
      <c r="C84" s="162"/>
      <c r="D84" s="162" t="s">
        <v>746</v>
      </c>
      <c r="E84" s="210"/>
      <c r="F84" s="196"/>
      <c r="G84" s="196"/>
      <c r="H84" s="196"/>
      <c r="I84" s="196"/>
      <c r="J84" s="196"/>
      <c r="K84" s="196"/>
      <c r="L84" s="196"/>
      <c r="M84" s="196"/>
    </row>
    <row r="85" spans="2:13" ht="10.5" customHeight="1">
      <c r="B85" s="195" t="s">
        <v>30</v>
      </c>
      <c r="C85" s="195"/>
      <c r="D85" s="195" t="s">
        <v>747</v>
      </c>
      <c r="E85" s="211"/>
      <c r="F85" s="197"/>
      <c r="G85" s="197"/>
      <c r="H85" s="197"/>
      <c r="I85" s="197"/>
      <c r="J85" s="197"/>
      <c r="K85" s="197"/>
      <c r="L85" s="197"/>
      <c r="M85" s="197"/>
    </row>
    <row r="86" spans="2:13" ht="10.5" customHeight="1">
      <c r="B86" s="195" t="s">
        <v>31</v>
      </c>
      <c r="C86" s="195"/>
      <c r="D86" s="195" t="str">
        <f>"Utility Capital Improvements Authorized in "&amp;TEXT('KEY INPUTS'!D34,"0")&amp;"; Utility Capital Surplus"</f>
        <v>Utility Capital Improvements Authorized in 2019; Utility Capital Surplus</v>
      </c>
      <c r="E86" s="211"/>
      <c r="F86" s="197"/>
      <c r="G86" s="197"/>
      <c r="H86" s="197"/>
      <c r="I86" s="197"/>
      <c r="J86" s="197"/>
      <c r="K86" s="197"/>
      <c r="L86" s="197"/>
      <c r="M86" s="197"/>
    </row>
    <row r="87" spans="2:13" ht="13.8">
      <c r="B87" s="1507" t="s">
        <v>522</v>
      </c>
      <c r="C87" s="1507"/>
      <c r="D87" s="1507"/>
      <c r="E87" s="1507"/>
      <c r="F87" s="1507"/>
      <c r="G87" s="1507"/>
      <c r="H87" s="1507"/>
      <c r="I87" s="1507"/>
      <c r="J87" s="1507"/>
      <c r="K87" s="1507"/>
      <c r="L87" s="1507"/>
      <c r="M87" s="1507"/>
    </row>
  </sheetData>
  <customSheetViews>
    <customSheetView guid="{AC653BD0-46E3-42CB-9C76-32121A57B65A}" state="hidden">
      <selection activeCell="B14" sqref="B14"/>
      <pageMargins left="0.25" right="0.25" top="0.5" bottom="0.5" header="0.25" footer="0.25"/>
      <pageSetup paperSize="5" scale="99" orientation="portrait" r:id="rId1"/>
      <headerFooter alignWithMargins="0"/>
    </customSheetView>
    <customSheetView guid="{B165479B-DC25-403C-9595-F1A88A4AA9A2}" state="hidden">
      <selection activeCell="B14" sqref="B14"/>
      <pageMargins left="0.25" right="0.25" top="0.5" bottom="0.5" header="0.25" footer="0.25"/>
      <pageSetup paperSize="5" scale="99" orientation="portrait" r:id="rId2"/>
      <headerFooter alignWithMargins="0"/>
    </customSheetView>
    <customSheetView guid="{A64E4C9E-A3DA-4AAA-8607-F524450B9436}" state="hidden">
      <selection activeCell="B14" sqref="B14"/>
      <pageMargins left="0.25" right="0.25" top="0.5" bottom="0.5" header="0.25" footer="0.25"/>
      <pageSetup paperSize="5" scale="99" orientation="portrait" r:id="rId3"/>
      <headerFooter alignWithMargins="0"/>
    </customSheetView>
    <customSheetView guid="{AB4FBD91-4533-473A-9702-569FF6402073}" state="hidden">
      <selection activeCell="B14" sqref="B14"/>
      <pageMargins left="0.25" right="0.25" top="0.5" bottom="0.5" header="0.25" footer="0.25"/>
      <pageSetup paperSize="5" scale="99" orientation="portrait" r:id="rId4"/>
      <headerFooter alignWithMargins="0"/>
    </customSheetView>
  </customSheetViews>
  <mergeCells count="5">
    <mergeCell ref="B87:M87"/>
    <mergeCell ref="B2:M2"/>
    <mergeCell ref="B3:M3"/>
    <mergeCell ref="B17:M17"/>
    <mergeCell ref="B69:M69"/>
  </mergeCells>
  <phoneticPr fontId="0" type="noConversion"/>
  <pageMargins left="0.25" right="0.25" top="0.5" bottom="0.5" header="0.25" footer="0.25"/>
  <pageSetup paperSize="5" scale="99" orientation="portrait"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B3:M55"/>
  <sheetViews>
    <sheetView topLeftCell="A34" zoomScaleNormal="100" workbookViewId="0">
      <selection activeCell="B3" sqref="B3:O3"/>
    </sheetView>
  </sheetViews>
  <sheetFormatPr defaultColWidth="9.109375" defaultRowHeight="13.2"/>
  <cols>
    <col min="1" max="1" width="4.6640625" style="322" customWidth="1"/>
    <col min="2" max="2" width="4.88671875" style="322" customWidth="1"/>
    <col min="3" max="4" width="4.6640625" style="322" customWidth="1"/>
    <col min="5" max="5" width="30.6640625" style="322" customWidth="1"/>
    <col min="6" max="6" width="15.6640625" style="322" customWidth="1"/>
    <col min="7" max="8" width="16.6640625" style="322" customWidth="1"/>
    <col min="9" max="9" width="10.33203125" style="322" bestFit="1" customWidth="1"/>
    <col min="10" max="12" width="9.109375" style="322"/>
    <col min="13" max="13" width="10.33203125" style="322" bestFit="1" customWidth="1"/>
    <col min="14" max="16384" width="9.109375" style="322"/>
  </cols>
  <sheetData>
    <row r="3" spans="2:11" ht="22.8">
      <c r="B3" s="1549" t="s">
        <v>543</v>
      </c>
      <c r="C3" s="1549"/>
      <c r="D3" s="1549"/>
      <c r="E3" s="1549"/>
      <c r="F3" s="1549"/>
      <c r="G3" s="1549"/>
      <c r="H3" s="1549"/>
    </row>
    <row r="4" spans="2:11" ht="22.8">
      <c r="B4" s="1549" t="s">
        <v>696</v>
      </c>
      <c r="C4" s="1549"/>
      <c r="D4" s="1549"/>
      <c r="E4" s="1549"/>
      <c r="F4" s="1549"/>
      <c r="G4" s="1549"/>
      <c r="H4" s="1549"/>
    </row>
    <row r="5" spans="2:11" ht="17.399999999999999">
      <c r="B5" s="1560" t="s">
        <v>780</v>
      </c>
      <c r="C5" s="1560"/>
      <c r="D5" s="1560"/>
      <c r="E5" s="1560"/>
      <c r="F5" s="1560"/>
      <c r="G5" s="1560"/>
      <c r="H5" s="1560"/>
    </row>
    <row r="6" spans="2:11" ht="15.6">
      <c r="B6" s="1556" t="str">
        <f>'KEY INPUTS'!D44</f>
        <v>AS  AT  DECEMBER  31, 2019</v>
      </c>
      <c r="C6" s="1509"/>
      <c r="D6" s="1509"/>
      <c r="E6" s="1509"/>
      <c r="F6" s="1509"/>
      <c r="G6" s="1509"/>
      <c r="H6" s="1509"/>
    </row>
    <row r="7" spans="2:11" ht="13.8" thickBot="1"/>
    <row r="8" spans="2:11" ht="36" customHeight="1" thickTop="1" thickBot="1">
      <c r="B8" s="1553" t="s">
        <v>124</v>
      </c>
      <c r="C8" s="1553"/>
      <c r="D8" s="1553"/>
      <c r="E8" s="1553"/>
      <c r="F8" s="1554"/>
      <c r="G8" s="4" t="s">
        <v>125</v>
      </c>
      <c r="H8" s="964" t="s">
        <v>126</v>
      </c>
    </row>
    <row r="9" spans="2:11" ht="21" customHeight="1" thickTop="1">
      <c r="B9" s="854" t="s">
        <v>3531</v>
      </c>
      <c r="C9" s="839"/>
      <c r="D9" s="839"/>
      <c r="E9" s="839"/>
      <c r="F9" s="839"/>
      <c r="G9" s="840">
        <f>+'6.4-Trial Bal-Trust Fnds'!G44</f>
        <v>3157559.72</v>
      </c>
      <c r="H9" s="841">
        <f>+'6.4-Trial Bal-Trust Fnds'!H44</f>
        <v>3157559.72</v>
      </c>
      <c r="I9" s="741"/>
    </row>
    <row r="10" spans="2:11" ht="21" customHeight="1">
      <c r="B10" s="843" t="s">
        <v>3530</v>
      </c>
      <c r="C10" s="640"/>
      <c r="D10" s="640"/>
      <c r="E10" s="640"/>
      <c r="F10" s="640"/>
      <c r="G10" s="842"/>
      <c r="H10" s="663"/>
    </row>
    <row r="11" spans="2:11" ht="21" customHeight="1">
      <c r="B11" s="566"/>
      <c r="C11" s="566"/>
      <c r="D11" s="566"/>
      <c r="E11" s="566"/>
      <c r="F11" s="566"/>
      <c r="G11" s="374"/>
      <c r="H11" s="578"/>
      <c r="I11" s="741"/>
    </row>
    <row r="12" spans="2:11" ht="21" customHeight="1">
      <c r="B12" s="566"/>
      <c r="C12" s="566"/>
      <c r="D12" s="566"/>
      <c r="E12" s="566"/>
      <c r="F12" s="566"/>
      <c r="G12" s="374"/>
      <c r="H12" s="578"/>
    </row>
    <row r="13" spans="2:11" ht="21" customHeight="1">
      <c r="B13" s="566"/>
      <c r="C13" s="566"/>
      <c r="D13" s="566"/>
      <c r="E13" s="566"/>
      <c r="F13" s="566"/>
      <c r="G13" s="374"/>
      <c r="H13" s="578"/>
    </row>
    <row r="14" spans="2:11" ht="21" customHeight="1">
      <c r="B14" s="566"/>
      <c r="C14" s="566"/>
      <c r="D14" s="566"/>
      <c r="E14" s="566"/>
      <c r="F14" s="566"/>
      <c r="G14" s="374"/>
      <c r="H14" s="578"/>
      <c r="K14" s="377"/>
    </row>
    <row r="15" spans="2:11" ht="21" customHeight="1">
      <c r="B15" s="566"/>
      <c r="C15" s="566"/>
      <c r="D15" s="566"/>
      <c r="E15" s="566"/>
      <c r="F15" s="566"/>
      <c r="G15" s="374"/>
      <c r="H15" s="578"/>
    </row>
    <row r="16" spans="2:11" ht="21" customHeight="1">
      <c r="B16" s="566"/>
      <c r="C16" s="566"/>
      <c r="D16" s="566"/>
      <c r="E16" s="566"/>
      <c r="F16" s="566"/>
      <c r="G16" s="374"/>
      <c r="H16" s="578"/>
    </row>
    <row r="17" spans="2:8" ht="21" customHeight="1">
      <c r="B17" s="566"/>
      <c r="C17" s="566"/>
      <c r="D17" s="566"/>
      <c r="E17" s="566"/>
      <c r="F17" s="566"/>
      <c r="G17" s="374"/>
      <c r="H17" s="578"/>
    </row>
    <row r="18" spans="2:8" ht="21" customHeight="1">
      <c r="B18" s="566"/>
      <c r="C18" s="566"/>
      <c r="D18" s="566"/>
      <c r="E18" s="566"/>
      <c r="F18" s="566"/>
      <c r="G18" s="374"/>
      <c r="H18" s="578"/>
    </row>
    <row r="19" spans="2:8" ht="21" customHeight="1">
      <c r="B19" s="566"/>
      <c r="C19" s="566"/>
      <c r="D19" s="566"/>
      <c r="E19" s="566"/>
      <c r="F19" s="566"/>
      <c r="G19" s="374"/>
      <c r="H19" s="578"/>
    </row>
    <row r="20" spans="2:8" ht="21" customHeight="1">
      <c r="B20" s="566"/>
      <c r="C20" s="566"/>
      <c r="D20" s="566"/>
      <c r="E20" s="566"/>
      <c r="F20" s="566"/>
      <c r="G20" s="374"/>
      <c r="H20" s="578"/>
    </row>
    <row r="21" spans="2:8" ht="21" customHeight="1">
      <c r="B21" s="566"/>
      <c r="C21" s="566"/>
      <c r="D21" s="566"/>
      <c r="E21" s="566"/>
      <c r="F21" s="566"/>
      <c r="G21" s="374"/>
      <c r="H21" s="578"/>
    </row>
    <row r="22" spans="2:8" ht="21" customHeight="1">
      <c r="B22" s="566"/>
      <c r="C22" s="566"/>
      <c r="D22" s="566"/>
      <c r="E22" s="566"/>
      <c r="F22" s="566"/>
      <c r="G22" s="374"/>
      <c r="H22" s="578"/>
    </row>
    <row r="23" spans="2:8" ht="21" customHeight="1">
      <c r="B23" s="566"/>
      <c r="C23" s="566"/>
      <c r="D23" s="566"/>
      <c r="E23" s="566"/>
      <c r="F23" s="566"/>
      <c r="G23" s="374"/>
      <c r="H23" s="578"/>
    </row>
    <row r="24" spans="2:8" ht="21" customHeight="1">
      <c r="B24" s="566"/>
      <c r="C24" s="566"/>
      <c r="D24" s="566"/>
      <c r="E24" s="566"/>
      <c r="F24" s="566"/>
      <c r="G24" s="374"/>
      <c r="H24" s="578"/>
    </row>
    <row r="25" spans="2:8" ht="21" customHeight="1">
      <c r="B25" s="566"/>
      <c r="C25" s="566"/>
      <c r="D25" s="566"/>
      <c r="E25" s="566"/>
      <c r="F25" s="566"/>
      <c r="G25" s="374"/>
      <c r="H25" s="578"/>
    </row>
    <row r="26" spans="2:8" ht="21" customHeight="1">
      <c r="B26" s="566"/>
      <c r="C26" s="566"/>
      <c r="D26" s="566"/>
      <c r="E26" s="566"/>
      <c r="F26" s="566"/>
      <c r="G26" s="374"/>
      <c r="H26" s="578"/>
    </row>
    <row r="27" spans="2:8" ht="21" customHeight="1">
      <c r="B27" s="566"/>
      <c r="C27" s="566"/>
      <c r="D27" s="566"/>
      <c r="E27" s="566"/>
      <c r="F27" s="566"/>
      <c r="G27" s="374"/>
      <c r="H27" s="578"/>
    </row>
    <row r="28" spans="2:8" ht="21" customHeight="1">
      <c r="B28" s="566"/>
      <c r="C28" s="566"/>
      <c r="D28" s="566"/>
      <c r="E28" s="566"/>
      <c r="F28" s="566"/>
      <c r="G28" s="374"/>
      <c r="H28" s="578"/>
    </row>
    <row r="29" spans="2:8" ht="21" customHeight="1">
      <c r="B29" s="566"/>
      <c r="C29" s="566"/>
      <c r="D29" s="566"/>
      <c r="E29" s="566"/>
      <c r="F29" s="566"/>
      <c r="G29" s="374"/>
      <c r="H29" s="578"/>
    </row>
    <row r="30" spans="2:8" ht="21" customHeight="1">
      <c r="B30" s="566"/>
      <c r="C30" s="566"/>
      <c r="D30" s="566"/>
      <c r="E30" s="566"/>
      <c r="F30" s="566"/>
      <c r="G30" s="374"/>
      <c r="H30" s="578"/>
    </row>
    <row r="31" spans="2:8" ht="21" customHeight="1">
      <c r="B31" s="566"/>
      <c r="C31" s="566"/>
      <c r="D31" s="566"/>
      <c r="E31" s="566"/>
      <c r="F31" s="566"/>
      <c r="G31" s="374"/>
      <c r="H31" s="578"/>
    </row>
    <row r="32" spans="2:8" ht="21" customHeight="1">
      <c r="B32" s="566"/>
      <c r="C32" s="566"/>
      <c r="D32" s="566"/>
      <c r="E32" s="566"/>
      <c r="F32" s="566"/>
      <c r="G32" s="374"/>
      <c r="H32" s="578"/>
    </row>
    <row r="33" spans="2:13" ht="21" customHeight="1">
      <c r="B33" s="566"/>
      <c r="C33" s="566"/>
      <c r="D33" s="566"/>
      <c r="E33" s="566"/>
      <c r="F33" s="566"/>
      <c r="G33" s="374"/>
      <c r="H33" s="578"/>
      <c r="M33" s="325"/>
    </row>
    <row r="34" spans="2:13" ht="21" customHeight="1">
      <c r="B34" s="566"/>
      <c r="C34" s="566"/>
      <c r="D34" s="566"/>
      <c r="E34" s="566"/>
      <c r="F34" s="566"/>
      <c r="G34" s="374"/>
      <c r="H34" s="578"/>
    </row>
    <row r="35" spans="2:13" ht="21" customHeight="1">
      <c r="B35" s="566"/>
      <c r="C35" s="566"/>
      <c r="D35" s="566"/>
      <c r="E35" s="566"/>
      <c r="F35" s="566"/>
      <c r="G35" s="374"/>
      <c r="H35" s="578"/>
    </row>
    <row r="36" spans="2:13" ht="21" customHeight="1">
      <c r="B36" s="566"/>
      <c r="C36" s="566"/>
      <c r="D36" s="566"/>
      <c r="E36" s="566"/>
      <c r="F36" s="566"/>
      <c r="G36" s="374"/>
      <c r="H36" s="578"/>
    </row>
    <row r="37" spans="2:13" ht="21" customHeight="1">
      <c r="B37" s="566"/>
      <c r="C37" s="566"/>
      <c r="D37" s="566"/>
      <c r="E37" s="566"/>
      <c r="F37" s="566"/>
      <c r="G37" s="374"/>
      <c r="H37" s="578"/>
    </row>
    <row r="38" spans="2:13" ht="21" customHeight="1">
      <c r="B38" s="566"/>
      <c r="C38" s="566"/>
      <c r="D38" s="566"/>
      <c r="E38" s="566"/>
      <c r="F38" s="566"/>
      <c r="G38" s="374"/>
      <c r="H38" s="578"/>
    </row>
    <row r="39" spans="2:13" ht="21" customHeight="1">
      <c r="B39" s="566"/>
      <c r="C39" s="566"/>
      <c r="D39" s="566"/>
      <c r="E39" s="566"/>
      <c r="F39" s="566"/>
      <c r="G39" s="374"/>
      <c r="H39" s="578"/>
    </row>
    <row r="40" spans="2:13" ht="21" customHeight="1">
      <c r="B40" s="566"/>
      <c r="C40" s="566"/>
      <c r="D40" s="566"/>
      <c r="E40" s="566"/>
      <c r="F40" s="566"/>
      <c r="G40" s="374"/>
      <c r="H40" s="578"/>
    </row>
    <row r="41" spans="2:13" ht="21" customHeight="1">
      <c r="B41" s="566"/>
      <c r="C41" s="566"/>
      <c r="D41" s="566"/>
      <c r="E41" s="566"/>
      <c r="F41" s="566"/>
      <c r="G41" s="374"/>
      <c r="H41" s="578"/>
    </row>
    <row r="42" spans="2:13" ht="21" customHeight="1">
      <c r="B42" s="566"/>
      <c r="C42" s="566"/>
      <c r="D42" s="566"/>
      <c r="E42" s="566"/>
      <c r="F42" s="566"/>
      <c r="G42" s="374"/>
      <c r="H42" s="578"/>
    </row>
    <row r="43" spans="2:13" ht="21" customHeight="1">
      <c r="B43" s="566"/>
      <c r="C43" s="566"/>
      <c r="D43" s="566"/>
      <c r="E43" s="566"/>
      <c r="F43" s="566"/>
      <c r="G43" s="374"/>
      <c r="H43" s="578"/>
    </row>
    <row r="44" spans="2:13" ht="21" customHeight="1">
      <c r="B44" s="843" t="s">
        <v>1000</v>
      </c>
      <c r="C44" s="640"/>
      <c r="D44" s="640"/>
      <c r="E44" s="640"/>
      <c r="F44" s="640"/>
      <c r="G44" s="842">
        <f>SUM(G9:G43)</f>
        <v>3157559.72</v>
      </c>
      <c r="H44" s="851">
        <f>SUM(H9:H43)</f>
        <v>3157559.72</v>
      </c>
    </row>
    <row r="45" spans="2:13">
      <c r="B45" s="1561" t="s">
        <v>127</v>
      </c>
      <c r="C45" s="1561"/>
      <c r="D45" s="1561"/>
      <c r="E45" s="1561"/>
      <c r="F45" s="1561"/>
      <c r="G45" s="1561"/>
      <c r="H45" s="1561"/>
    </row>
    <row r="46" spans="2:13">
      <c r="B46" s="965"/>
      <c r="C46" s="965"/>
      <c r="D46" s="965"/>
      <c r="E46" s="965"/>
      <c r="F46" s="965"/>
      <c r="G46" s="965"/>
      <c r="H46" s="965"/>
    </row>
    <row r="47" spans="2:13">
      <c r="B47" s="853"/>
      <c r="C47" s="853"/>
      <c r="D47" s="853"/>
      <c r="E47" s="853"/>
      <c r="F47" s="853"/>
      <c r="G47" s="853"/>
      <c r="H47" s="853"/>
    </row>
    <row r="48" spans="2:13" ht="13.8">
      <c r="B48" s="1562" t="s">
        <v>3537</v>
      </c>
      <c r="C48" s="1562"/>
      <c r="D48" s="1562"/>
      <c r="E48" s="1562"/>
      <c r="F48" s="1562"/>
      <c r="G48" s="1562"/>
      <c r="H48" s="1562"/>
    </row>
    <row r="55" spans="9:9">
      <c r="I55" s="325">
        <f>+G44-H44</f>
        <v>0</v>
      </c>
    </row>
  </sheetData>
  <sheetProtection algorithmName="SHA-512" hashValue="wySW8rYuFRzFWU6rWmcEPJVAZaoAtWwLZVgftSt0a1o0l8hqPMUAUXFCtxWK+cDGED5A493N0US00LvzJxLsiw==" saltValue="bWBUCkRGlc7gDZk99aD0A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topLeftCell="A40">
      <selection activeCell="B1" sqref="B1"/>
      <pageMargins left="0.25" right="0.25" top="0.5" bottom="0.5" header="0.25" footer="0.25"/>
      <pageSetup paperSize="5" orientation="portrait" r:id="rId3"/>
      <headerFooter alignWithMargins="0"/>
    </customSheetView>
    <customSheetView guid="{AB4FBD91-4533-473A-9702-569FF6402073}" topLeftCell="A40">
      <selection activeCell="B1" sqref="B1"/>
      <pageMargins left="0.25" right="0.25" top="0.5" bottom="0.5" header="0.25" footer="0.25"/>
      <pageSetup paperSize="5" orientation="portrait" r:id="rId4"/>
      <headerFooter alignWithMargins="0"/>
    </customSheetView>
  </customSheetViews>
  <mergeCells count="7">
    <mergeCell ref="B48:H48"/>
    <mergeCell ref="B3:H3"/>
    <mergeCell ref="B4:H4"/>
    <mergeCell ref="B5:H5"/>
    <mergeCell ref="B6:H6"/>
    <mergeCell ref="B8:F8"/>
    <mergeCell ref="B45:H45"/>
  </mergeCells>
  <pageMargins left="0.25" right="0.25" top="0.5" bottom="0.5" header="0.25" footer="0.25"/>
  <pageSetup paperSize="5" orientation="portrait" r:id="rId5"/>
  <headerFooter alignWithMargins="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199">
    <tabColor theme="3" tint="0.39997558519241921"/>
  </sheetPr>
  <dimension ref="B1:S54"/>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6" width="9.109375" style="331"/>
    <col min="7" max="7" width="14.44140625" style="331" customWidth="1"/>
    <col min="8" max="8" width="15" style="331" customWidth="1"/>
    <col min="9" max="10" width="16.6640625" style="331" customWidth="1"/>
    <col min="11" max="16384" width="9.109375" style="331"/>
  </cols>
  <sheetData>
    <row r="1" spans="2:19">
      <c r="B1" s="1146"/>
      <c r="C1" s="1146"/>
      <c r="D1" s="1146"/>
      <c r="E1" s="1146"/>
      <c r="F1" s="1146"/>
      <c r="G1" s="1146"/>
      <c r="H1" s="1146"/>
      <c r="I1" s="1146"/>
      <c r="J1" s="1146"/>
    </row>
    <row r="2" spans="2:19">
      <c r="B2" s="1146"/>
      <c r="C2" s="1146"/>
      <c r="D2" s="1146"/>
      <c r="E2" s="1146"/>
      <c r="F2" s="1146"/>
      <c r="G2" s="1146"/>
      <c r="H2" s="1146"/>
      <c r="I2" s="1146"/>
      <c r="J2" s="1146"/>
    </row>
    <row r="3" spans="2:19" ht="22.8">
      <c r="B3" s="1759" t="str">
        <f>UPPER('KEY INPUTS'!D$53)&amp;" UTILITY  CAPITAL  FUND"</f>
        <v xml:space="preserve"> UTILITY  CAPITAL  FUND</v>
      </c>
      <c r="C3" s="1759"/>
      <c r="D3" s="1759"/>
      <c r="E3" s="1759"/>
      <c r="F3" s="1759"/>
      <c r="G3" s="1759"/>
      <c r="H3" s="1759"/>
      <c r="I3" s="1759"/>
      <c r="J3" s="1759"/>
    </row>
    <row r="4" spans="2:19">
      <c r="B4" s="1146"/>
      <c r="C4" s="1146"/>
      <c r="D4" s="1146"/>
      <c r="E4" s="1146"/>
      <c r="F4" s="1146"/>
      <c r="G4" s="1146"/>
      <c r="H4" s="1146"/>
      <c r="I4" s="1146"/>
      <c r="J4" s="1146"/>
    </row>
    <row r="5" spans="2:19" ht="15.6">
      <c r="B5" s="1783" t="s">
        <v>667</v>
      </c>
      <c r="C5" s="1783"/>
      <c r="D5" s="1783"/>
      <c r="E5" s="1783"/>
      <c r="F5" s="1783"/>
      <c r="G5" s="1783"/>
      <c r="H5" s="1783"/>
      <c r="I5" s="1783"/>
      <c r="J5" s="1783"/>
    </row>
    <row r="6" spans="2:19" ht="13.8" thickBot="1">
      <c r="B6" s="1146"/>
      <c r="C6" s="1146"/>
      <c r="D6" s="1146"/>
      <c r="E6" s="1146"/>
      <c r="F6" s="1146"/>
      <c r="G6" s="1146"/>
      <c r="H6" s="1146"/>
      <c r="I6" s="1146"/>
      <c r="J6" s="1146"/>
    </row>
    <row r="7" spans="2:19" ht="28.5" customHeight="1" thickTop="1" thickBot="1">
      <c r="B7" s="1388"/>
      <c r="C7" s="1388"/>
      <c r="D7" s="1388"/>
      <c r="E7" s="1388"/>
      <c r="F7" s="1388"/>
      <c r="G7" s="1388"/>
      <c r="H7" s="1388"/>
      <c r="I7" s="1134" t="s">
        <v>125</v>
      </c>
      <c r="J7" s="1135" t="s">
        <v>126</v>
      </c>
    </row>
    <row r="8" spans="2:19" ht="21" customHeight="1" thickTop="1">
      <c r="B8" s="1158" t="str">
        <f>'KEY INPUTS'!D25</f>
        <v>Balance - January 1, 2019</v>
      </c>
      <c r="C8" s="1158"/>
      <c r="D8" s="1158"/>
      <c r="E8" s="1158"/>
      <c r="F8" s="1158"/>
      <c r="G8" s="1158"/>
      <c r="H8" s="1400"/>
      <c r="I8" s="1088" t="s">
        <v>787</v>
      </c>
      <c r="J8" s="639"/>
    </row>
    <row r="9" spans="2:19" ht="21" customHeight="1">
      <c r="B9" s="1139" t="str">
        <f>"Received from "&amp;'KEY INPUTS'!D34&amp;" Budget Appropriation"</f>
        <v>Received from 2019 Budget Appropriation</v>
      </c>
      <c r="C9" s="1139"/>
      <c r="D9" s="1139"/>
      <c r="E9" s="1139"/>
      <c r="F9" s="1139"/>
      <c r="G9" s="1139"/>
      <c r="H9" s="1401"/>
      <c r="I9" s="973" t="s">
        <v>787</v>
      </c>
      <c r="J9" s="609"/>
      <c r="M9" s="322"/>
      <c r="N9" s="322"/>
      <c r="O9" s="322"/>
      <c r="P9" s="322"/>
      <c r="Q9" s="322"/>
      <c r="R9" s="322"/>
      <c r="S9" s="322"/>
    </row>
    <row r="10" spans="2:19" ht="21" customHeight="1">
      <c r="B10" s="648"/>
      <c r="C10" s="648"/>
      <c r="D10" s="648"/>
      <c r="E10" s="648"/>
      <c r="F10" s="648"/>
      <c r="G10" s="648"/>
      <c r="H10" s="648"/>
      <c r="I10" s="973" t="s">
        <v>787</v>
      </c>
      <c r="J10" s="609"/>
      <c r="M10" s="322"/>
      <c r="N10" s="322"/>
      <c r="O10" s="322"/>
      <c r="P10" s="322"/>
      <c r="Q10" s="322"/>
      <c r="R10" s="322"/>
      <c r="S10" s="322"/>
    </row>
    <row r="11" spans="2:19" ht="11.25" customHeight="1">
      <c r="B11" s="1402" t="s">
        <v>224</v>
      </c>
      <c r="C11" s="1403"/>
      <c r="D11" s="1403"/>
      <c r="E11" s="1403"/>
      <c r="F11" s="1403"/>
      <c r="G11" s="1403"/>
      <c r="H11" s="1404"/>
      <c r="I11" s="1906" t="s">
        <v>787</v>
      </c>
      <c r="J11" s="1904"/>
      <c r="M11" s="377"/>
      <c r="N11" s="322"/>
      <c r="O11" s="322"/>
      <c r="P11" s="322"/>
      <c r="Q11" s="322"/>
      <c r="R11" s="322"/>
      <c r="S11" s="322"/>
    </row>
    <row r="12" spans="2:19" ht="12.75" customHeight="1">
      <c r="B12" s="1391"/>
      <c r="C12" s="1405" t="s">
        <v>225</v>
      </c>
      <c r="D12" s="1391"/>
      <c r="E12" s="1391"/>
      <c r="F12" s="1391"/>
      <c r="G12" s="1391"/>
      <c r="H12" s="1406"/>
      <c r="I12" s="1907"/>
      <c r="J12" s="1905"/>
      <c r="M12" s="322"/>
      <c r="N12" s="322"/>
      <c r="O12" s="322"/>
      <c r="P12" s="322"/>
      <c r="Q12" s="322"/>
      <c r="R12" s="322"/>
      <c r="S12" s="322"/>
    </row>
    <row r="13" spans="2:19" ht="21" customHeight="1">
      <c r="B13" s="668"/>
      <c r="C13" s="1282"/>
      <c r="D13" s="668"/>
      <c r="E13" s="668"/>
      <c r="F13" s="668"/>
      <c r="G13" s="668"/>
      <c r="H13" s="668"/>
      <c r="I13" s="683"/>
      <c r="J13" s="376"/>
      <c r="M13" s="322"/>
      <c r="N13" s="322"/>
      <c r="O13" s="322"/>
      <c r="P13" s="322"/>
      <c r="Q13" s="322"/>
      <c r="R13" s="322"/>
      <c r="S13" s="322"/>
    </row>
    <row r="14" spans="2:19" ht="21" customHeight="1">
      <c r="B14" s="1139" t="s">
        <v>226</v>
      </c>
      <c r="C14" s="1139"/>
      <c r="D14" s="1139"/>
      <c r="E14" s="1139"/>
      <c r="F14" s="1139"/>
      <c r="G14" s="1139"/>
      <c r="H14" s="1139"/>
      <c r="I14" s="973" t="s">
        <v>787</v>
      </c>
      <c r="J14" s="977" t="s">
        <v>787</v>
      </c>
      <c r="M14" s="322"/>
      <c r="N14" s="322"/>
      <c r="O14" s="322"/>
      <c r="P14" s="322"/>
      <c r="Q14" s="322"/>
      <c r="R14" s="322"/>
      <c r="S14" s="322"/>
    </row>
    <row r="15" spans="2:19" ht="21" customHeight="1">
      <c r="B15" s="648"/>
      <c r="C15" s="648"/>
      <c r="D15" s="648"/>
      <c r="E15" s="648"/>
      <c r="F15" s="648"/>
      <c r="G15" s="648"/>
      <c r="H15" s="648"/>
      <c r="I15" s="601"/>
      <c r="J15" s="977" t="s">
        <v>787</v>
      </c>
      <c r="M15" s="322"/>
      <c r="N15" s="322"/>
      <c r="O15" s="322"/>
      <c r="P15" s="322"/>
      <c r="Q15" s="322"/>
      <c r="R15" s="322"/>
      <c r="S15" s="322"/>
    </row>
    <row r="16" spans="2:19" ht="21" customHeight="1">
      <c r="B16" s="648"/>
      <c r="C16" s="648"/>
      <c r="D16" s="648"/>
      <c r="E16" s="648"/>
      <c r="F16" s="648"/>
      <c r="G16" s="648"/>
      <c r="H16" s="648"/>
      <c r="I16" s="601"/>
      <c r="J16" s="977" t="s">
        <v>787</v>
      </c>
      <c r="M16" s="322"/>
      <c r="N16" s="322"/>
      <c r="O16" s="322"/>
      <c r="P16" s="322"/>
      <c r="Q16" s="322"/>
      <c r="R16" s="322"/>
      <c r="S16" s="322"/>
    </row>
    <row r="17" spans="2:19" ht="21" customHeight="1">
      <c r="B17" s="648"/>
      <c r="C17" s="648"/>
      <c r="D17" s="648"/>
      <c r="E17" s="648"/>
      <c r="F17" s="648"/>
      <c r="G17" s="648"/>
      <c r="H17" s="648"/>
      <c r="I17" s="601"/>
      <c r="J17" s="977" t="s">
        <v>787</v>
      </c>
      <c r="M17" s="322"/>
      <c r="N17" s="322"/>
      <c r="O17" s="322"/>
      <c r="P17" s="322"/>
      <c r="Q17" s="322"/>
      <c r="R17" s="322"/>
      <c r="S17" s="322"/>
    </row>
    <row r="18" spans="2:19" ht="21" customHeight="1">
      <c r="B18" s="648"/>
      <c r="C18" s="648"/>
      <c r="D18" s="648"/>
      <c r="E18" s="648"/>
      <c r="F18" s="648"/>
      <c r="G18" s="648"/>
      <c r="H18" s="648"/>
      <c r="I18" s="601"/>
      <c r="J18" s="977" t="s">
        <v>787</v>
      </c>
      <c r="M18" s="322"/>
      <c r="N18" s="322"/>
      <c r="O18" s="322"/>
      <c r="P18" s="322"/>
      <c r="Q18" s="322"/>
      <c r="R18" s="322"/>
      <c r="S18" s="322"/>
    </row>
    <row r="19" spans="2:19" ht="21" customHeight="1">
      <c r="B19" s="648"/>
      <c r="C19" s="648"/>
      <c r="D19" s="648"/>
      <c r="E19" s="648"/>
      <c r="F19" s="648"/>
      <c r="G19" s="648"/>
      <c r="H19" s="648"/>
      <c r="I19" s="601"/>
      <c r="J19" s="977" t="s">
        <v>787</v>
      </c>
      <c r="M19" s="322"/>
      <c r="N19" s="322"/>
      <c r="O19" s="322"/>
      <c r="P19" s="322"/>
      <c r="Q19" s="322"/>
      <c r="R19" s="322"/>
      <c r="S19" s="322"/>
    </row>
    <row r="20" spans="2:19" ht="21" customHeight="1">
      <c r="B20" s="648"/>
      <c r="C20" s="648"/>
      <c r="D20" s="648"/>
      <c r="E20" s="648"/>
      <c r="F20" s="648"/>
      <c r="G20" s="648"/>
      <c r="H20" s="648"/>
      <c r="I20" s="601"/>
      <c r="J20" s="977" t="s">
        <v>787</v>
      </c>
      <c r="M20" s="322"/>
      <c r="N20" s="322"/>
      <c r="O20" s="322"/>
      <c r="P20" s="322"/>
      <c r="Q20" s="322"/>
      <c r="R20" s="322"/>
      <c r="S20" s="322"/>
    </row>
    <row r="21" spans="2:19" ht="21" customHeight="1">
      <c r="B21" s="648"/>
      <c r="C21" s="648"/>
      <c r="D21" s="648"/>
      <c r="E21" s="648"/>
      <c r="F21" s="648"/>
      <c r="G21" s="648"/>
      <c r="H21" s="648"/>
      <c r="I21" s="601"/>
      <c r="J21" s="977" t="s">
        <v>787</v>
      </c>
      <c r="M21" s="322"/>
      <c r="N21" s="322"/>
      <c r="O21" s="322"/>
      <c r="P21" s="322"/>
      <c r="Q21" s="322"/>
      <c r="R21" s="322"/>
      <c r="S21" s="322"/>
    </row>
    <row r="22" spans="2:19" ht="21" customHeight="1">
      <c r="B22" s="1139" t="s">
        <v>229</v>
      </c>
      <c r="C22" s="1139"/>
      <c r="D22" s="1139"/>
      <c r="E22" s="1139"/>
      <c r="F22" s="1139"/>
      <c r="G22" s="1139"/>
      <c r="H22" s="1401"/>
      <c r="I22" s="601"/>
      <c r="J22" s="977" t="s">
        <v>787</v>
      </c>
      <c r="M22" s="322"/>
      <c r="N22" s="322"/>
      <c r="O22" s="322"/>
      <c r="P22" s="322"/>
      <c r="Q22" s="322"/>
      <c r="R22" s="322"/>
      <c r="S22" s="322"/>
    </row>
    <row r="23" spans="2:19" ht="21" customHeight="1">
      <c r="B23" s="648"/>
      <c r="C23" s="648"/>
      <c r="D23" s="648"/>
      <c r="E23" s="648"/>
      <c r="F23" s="648"/>
      <c r="G23" s="648"/>
      <c r="H23" s="648"/>
      <c r="I23" s="601"/>
      <c r="J23" s="977" t="s">
        <v>787</v>
      </c>
      <c r="M23" s="322"/>
      <c r="N23" s="322"/>
      <c r="O23" s="322"/>
      <c r="P23" s="322"/>
      <c r="Q23" s="322"/>
      <c r="R23" s="322"/>
      <c r="S23" s="322"/>
    </row>
    <row r="24" spans="2:19" ht="21" customHeight="1" thickBot="1">
      <c r="B24" s="1139" t="str">
        <f>'KEY INPUTS'!D26</f>
        <v>Balance - December 31, 2019</v>
      </c>
      <c r="C24" s="1139"/>
      <c r="D24" s="1139"/>
      <c r="E24" s="1139"/>
      <c r="F24" s="1139"/>
      <c r="G24" s="1139"/>
      <c r="H24" s="1401"/>
      <c r="I24" s="1106">
        <f>+SUM(J8:J13)-SUM(I13:I23)</f>
        <v>0</v>
      </c>
      <c r="J24" s="1104" t="s">
        <v>787</v>
      </c>
      <c r="M24" s="322"/>
      <c r="N24" s="322"/>
      <c r="O24" s="322"/>
      <c r="P24" s="322"/>
      <c r="Q24" s="322"/>
      <c r="R24" s="322"/>
      <c r="S24" s="322"/>
    </row>
    <row r="25" spans="2:19" ht="21" customHeight="1" thickTop="1" thickBot="1">
      <c r="B25" s="1146"/>
      <c r="C25" s="1146"/>
      <c r="D25" s="1146"/>
      <c r="E25" s="1146"/>
      <c r="F25" s="1146"/>
      <c r="G25" s="1146"/>
      <c r="H25" s="1146"/>
      <c r="I25" s="1061">
        <f>SUM(I8:I24)</f>
        <v>0</v>
      </c>
      <c r="J25" s="1107">
        <f>SUM(J8:J24)</f>
        <v>0</v>
      </c>
      <c r="M25" s="322"/>
      <c r="N25" s="322"/>
      <c r="O25" s="322"/>
      <c r="P25" s="322"/>
      <c r="Q25" s="322"/>
      <c r="R25" s="322"/>
      <c r="S25" s="322"/>
    </row>
    <row r="26" spans="2:19" ht="13.8" thickTop="1"/>
    <row r="30" spans="2:19" ht="22.8">
      <c r="B30" s="1759" t="str">
        <f>UPPER('KEY INPUTS'!D$53)&amp;" UTILITY  CAPITAL  FUND"</f>
        <v xml:space="preserve"> UTILITY  CAPITAL  FUND</v>
      </c>
      <c r="C30" s="1759"/>
      <c r="D30" s="1759"/>
      <c r="E30" s="1759"/>
      <c r="F30" s="1759"/>
      <c r="G30" s="1759"/>
      <c r="H30" s="1759"/>
      <c r="I30" s="1759"/>
      <c r="J30" s="1759"/>
    </row>
    <row r="31" spans="2:19" ht="7.5" customHeight="1">
      <c r="B31" s="1146"/>
      <c r="C31" s="1146"/>
      <c r="D31" s="1146"/>
      <c r="E31" s="1146"/>
      <c r="F31" s="1146"/>
      <c r="G31" s="1146"/>
      <c r="H31" s="1146"/>
      <c r="I31" s="1146"/>
      <c r="J31" s="1146"/>
    </row>
    <row r="32" spans="2:19" ht="15.6">
      <c r="B32" s="1783" t="s">
        <v>234</v>
      </c>
      <c r="C32" s="1783"/>
      <c r="D32" s="1783"/>
      <c r="E32" s="1783"/>
      <c r="F32" s="1783"/>
      <c r="G32" s="1783"/>
      <c r="H32" s="1783"/>
      <c r="I32" s="1783"/>
      <c r="J32" s="1783"/>
    </row>
    <row r="33" spans="2:10" ht="13.8" thickBot="1">
      <c r="B33" s="1146"/>
      <c r="C33" s="1146"/>
      <c r="D33" s="1146"/>
      <c r="E33" s="1146"/>
      <c r="F33" s="1146"/>
      <c r="G33" s="1146"/>
      <c r="H33" s="1146"/>
      <c r="I33" s="1146"/>
      <c r="J33" s="1146"/>
    </row>
    <row r="34" spans="2:10" ht="26.25" customHeight="1" thickTop="1" thickBot="1">
      <c r="B34" s="1388"/>
      <c r="C34" s="1388"/>
      <c r="D34" s="1388"/>
      <c r="E34" s="1388"/>
      <c r="F34" s="1388"/>
      <c r="G34" s="1388"/>
      <c r="H34" s="1388"/>
      <c r="I34" s="1134" t="s">
        <v>125</v>
      </c>
      <c r="J34" s="1135" t="s">
        <v>126</v>
      </c>
    </row>
    <row r="35" spans="2:10" ht="21" customHeight="1" thickTop="1">
      <c r="B35" s="1158" t="str">
        <f>'KEY INPUTS'!D25</f>
        <v>Balance - January 1, 2019</v>
      </c>
      <c r="C35" s="1158"/>
      <c r="D35" s="1158"/>
      <c r="E35" s="1158"/>
      <c r="F35" s="1158"/>
      <c r="G35" s="1158"/>
      <c r="H35" s="1400"/>
      <c r="I35" s="1088" t="s">
        <v>787</v>
      </c>
      <c r="J35" s="639"/>
    </row>
    <row r="36" spans="2:10" ht="21" customHeight="1">
      <c r="B36" s="1139" t="str">
        <f>"Received from "&amp;TEXT('KEY INPUTS'!D34,"0")&amp;" Budget Appropriation *"</f>
        <v>Received from 2019 Budget Appropriation *</v>
      </c>
      <c r="C36" s="1139"/>
      <c r="D36" s="1139"/>
      <c r="E36" s="1139"/>
      <c r="F36" s="1139"/>
      <c r="G36" s="1139"/>
      <c r="H36" s="1401"/>
      <c r="I36" s="973" t="s">
        <v>787</v>
      </c>
      <c r="J36" s="609"/>
    </row>
    <row r="37" spans="2:10" ht="21" customHeight="1">
      <c r="B37" s="1139" t="str">
        <f>"Received from "&amp;TEXT('KEY INPUTS'!D34,"0")&amp;" Emergency Appropriation *"</f>
        <v>Received from 2019 Emergency Appropriation *</v>
      </c>
      <c r="C37" s="1139"/>
      <c r="D37" s="1139"/>
      <c r="E37" s="1139"/>
      <c r="F37" s="1139"/>
      <c r="G37" s="1139"/>
      <c r="H37" s="1401"/>
      <c r="I37" s="973" t="s">
        <v>787</v>
      </c>
      <c r="J37" s="609"/>
    </row>
    <row r="38" spans="2:10" ht="21" customHeight="1">
      <c r="B38" s="668"/>
      <c r="C38" s="1282"/>
      <c r="D38" s="668"/>
      <c r="E38" s="1391"/>
      <c r="F38" s="1391"/>
      <c r="G38" s="1391"/>
      <c r="H38" s="1391"/>
      <c r="I38" s="683"/>
      <c r="J38" s="376"/>
    </row>
    <row r="39" spans="2:10" ht="21" customHeight="1">
      <c r="B39" s="1139" t="s">
        <v>229</v>
      </c>
      <c r="C39" s="1139"/>
      <c r="D39" s="1139"/>
      <c r="E39" s="1139"/>
      <c r="F39" s="1139"/>
      <c r="G39" s="1139"/>
      <c r="H39" s="1401"/>
      <c r="I39" s="601"/>
      <c r="J39" s="977" t="s">
        <v>787</v>
      </c>
    </row>
    <row r="40" spans="2:10" ht="21" customHeight="1">
      <c r="B40" s="648"/>
      <c r="C40" s="648"/>
      <c r="D40" s="648"/>
      <c r="E40" s="1139"/>
      <c r="F40" s="1139"/>
      <c r="G40" s="1139"/>
      <c r="H40" s="1139"/>
      <c r="I40" s="601"/>
      <c r="J40" s="977" t="s">
        <v>787</v>
      </c>
    </row>
    <row r="41" spans="2:10" ht="21" customHeight="1" thickBot="1">
      <c r="B41" s="1139" t="str">
        <f>'KEY INPUTS'!D26</f>
        <v>Balance - December 31, 2019</v>
      </c>
      <c r="C41" s="1139"/>
      <c r="D41" s="1139"/>
      <c r="E41" s="1139"/>
      <c r="F41" s="1139"/>
      <c r="G41" s="1139"/>
      <c r="H41" s="1401"/>
      <c r="I41" s="1283">
        <f>SUM(J35:J38)-SUM(I38:I40)</f>
        <v>0</v>
      </c>
      <c r="J41" s="1104" t="s">
        <v>787</v>
      </c>
    </row>
    <row r="42" spans="2:10" ht="21" customHeight="1" thickTop="1" thickBot="1">
      <c r="B42" s="1146"/>
      <c r="C42" s="1146"/>
      <c r="D42" s="1146"/>
      <c r="E42" s="1146"/>
      <c r="F42" s="1146"/>
      <c r="G42" s="1146"/>
      <c r="H42" s="1146"/>
      <c r="I42" s="1061">
        <f>SUM(I35:I41)</f>
        <v>0</v>
      </c>
      <c r="J42" s="1107">
        <f>SUM(J35:J41)</f>
        <v>0</v>
      </c>
    </row>
    <row r="43" spans="2:10" ht="21" customHeight="1" thickTop="1">
      <c r="I43" s="191"/>
      <c r="J43" s="191"/>
    </row>
    <row r="44" spans="2:10" ht="21" customHeight="1"/>
    <row r="45" spans="2:10" ht="13.5" customHeight="1">
      <c r="B45" s="554" t="str">
        <f>"*The full amount of the "&amp;TEXT('KEY INPUTS'!D34,"0")&amp;"  budget appropriation should be transferred to this account unless the balance of the"</f>
        <v>*The full amount of the 2019  budget appropriation should be transferred to this account unless the balance of the</v>
      </c>
      <c r="C45" s="554"/>
    </row>
    <row r="46" spans="2:10" ht="13.5" customHeight="1">
      <c r="B46" s="554"/>
      <c r="C46" s="554" t="s">
        <v>233</v>
      </c>
    </row>
    <row r="47" spans="2:10" ht="13.5" customHeight="1">
      <c r="B47" s="554"/>
      <c r="C47" s="554"/>
    </row>
    <row r="48" spans="2:10" ht="13.5" customHeight="1">
      <c r="B48" s="554"/>
      <c r="C48" s="554"/>
    </row>
    <row r="49" spans="2:10" ht="13.5" customHeight="1">
      <c r="B49" s="554"/>
      <c r="C49" s="554"/>
    </row>
    <row r="50" spans="2:10" ht="13.5" customHeight="1">
      <c r="B50" s="554"/>
      <c r="C50" s="554"/>
    </row>
    <row r="51" spans="2:10" ht="13.5" customHeight="1">
      <c r="B51" s="554"/>
      <c r="C51" s="554"/>
    </row>
    <row r="52" spans="2:10" ht="13.5" customHeight="1">
      <c r="B52" s="554"/>
      <c r="C52" s="554"/>
    </row>
    <row r="53" spans="2:10" ht="13.5" customHeight="1">
      <c r="B53" s="554"/>
      <c r="C53" s="554"/>
    </row>
    <row r="54" spans="2:10" ht="13.8">
      <c r="B54" s="1812" t="s">
        <v>3451</v>
      </c>
      <c r="C54" s="1812"/>
      <c r="D54" s="1812"/>
      <c r="E54" s="1812"/>
      <c r="F54" s="1812"/>
      <c r="G54" s="1812"/>
      <c r="H54" s="1812"/>
      <c r="I54" s="1812"/>
      <c r="J54" s="1812"/>
    </row>
  </sheetData>
  <sheetProtection algorithmName="SHA-512" hashValue="nLmjRVbKoABvcTakxT9rNKMyXva+duts2ZqzP6YH34U37DiopO40JKJz7Z2AW3a5HICGrrdSebjyL8Ppmwn5IQ==" saltValue="eX7jxGZ7uKwyWXmLV+CpQ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7">
    <mergeCell ref="B3:J3"/>
    <mergeCell ref="B5:J5"/>
    <mergeCell ref="B30:J30"/>
    <mergeCell ref="B32:J32"/>
    <mergeCell ref="B54:J54"/>
    <mergeCell ref="J11:J12"/>
    <mergeCell ref="I11:I12"/>
  </mergeCells>
  <pageMargins left="0.25" right="0.25" top="0.5" bottom="0.5" header="0.25" footer="0.25"/>
  <pageSetup paperSize="5" orientation="portrait" r:id="rId5"/>
  <headerFooter alignWithMargins="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0">
    <tabColor theme="3" tint="0.39997558519241921"/>
  </sheetPr>
  <dimension ref="B1:AC52"/>
  <sheetViews>
    <sheetView zoomScale="80" zoomScaleNormal="80" zoomScaleSheetLayoutView="80" workbookViewId="0">
      <selection activeCell="B1" sqref="B1"/>
    </sheetView>
  </sheetViews>
  <sheetFormatPr defaultColWidth="8.88671875" defaultRowHeight="13.2"/>
  <cols>
    <col min="1" max="3" width="4.6640625" style="398" customWidth="1"/>
    <col min="4" max="4" width="4.5546875" style="398" customWidth="1"/>
    <col min="5" max="5" width="8.88671875" style="398"/>
    <col min="6" max="6" width="6.6640625" style="398" customWidth="1"/>
    <col min="7" max="10" width="16.6640625" style="398" customWidth="1"/>
    <col min="11" max="20" width="8.88671875" style="398"/>
    <col min="21" max="23" width="4.6640625" style="322" customWidth="1"/>
    <col min="24" max="24" width="8.88671875" style="322"/>
    <col min="25" max="25" width="6.6640625" style="322" customWidth="1"/>
    <col min="26" max="29" width="16.6640625" style="322" customWidth="1"/>
    <col min="30" max="16384" width="8.88671875" style="398"/>
  </cols>
  <sheetData>
    <row r="1" spans="2:19">
      <c r="B1" s="1114"/>
      <c r="C1" s="1114"/>
      <c r="D1" s="1222"/>
      <c r="E1" s="1222"/>
      <c r="F1" s="1114"/>
      <c r="G1" s="1114"/>
      <c r="H1" s="1114"/>
      <c r="I1" s="1114"/>
      <c r="J1" s="1114"/>
    </row>
    <row r="2" spans="2:19">
      <c r="B2" s="1114"/>
      <c r="C2" s="1114"/>
      <c r="D2" s="1222"/>
      <c r="E2" s="1222"/>
      <c r="F2" s="1114"/>
      <c r="G2" s="1114"/>
      <c r="H2" s="1114"/>
      <c r="I2" s="1114"/>
      <c r="J2" s="1114"/>
    </row>
    <row r="3" spans="2:19" ht="24.6">
      <c r="B3" s="1949" t="str">
        <f>UPPER('KEY INPUTS'!D$53)&amp;" UTILITY  CAPITAL  FUND"</f>
        <v xml:space="preserve"> UTILITY  CAPITAL  FUND</v>
      </c>
      <c r="C3" s="1949"/>
      <c r="D3" s="1949"/>
      <c r="E3" s="1949"/>
      <c r="F3" s="1949"/>
      <c r="G3" s="1949"/>
      <c r="H3" s="1949"/>
      <c r="I3" s="1949"/>
      <c r="J3" s="1949"/>
    </row>
    <row r="4" spans="2:19">
      <c r="B4" s="1114"/>
      <c r="C4" s="1114"/>
      <c r="D4" s="1114"/>
      <c r="E4" s="1114"/>
      <c r="F4" s="1114"/>
      <c r="G4" s="1114"/>
      <c r="H4" s="1114"/>
      <c r="I4" s="1114"/>
      <c r="J4" s="1114"/>
    </row>
    <row r="5" spans="2:19" ht="17.399999999999999">
      <c r="B5" s="1805" t="str">
        <f>"CAPITAL  IMPROVEMENTS  AUTHORIZED  IN "&amp;TEXT('KEY INPUTS'!D34,"0")&amp;""</f>
        <v>CAPITAL  IMPROVEMENTS  AUTHORIZED  IN 2019</v>
      </c>
      <c r="C5" s="1805"/>
      <c r="D5" s="1805"/>
      <c r="E5" s="1805"/>
      <c r="F5" s="1805"/>
      <c r="G5" s="1805"/>
      <c r="H5" s="1805"/>
      <c r="I5" s="1805"/>
      <c r="J5" s="1805"/>
    </row>
    <row r="6" spans="2:19" ht="17.399999999999999">
      <c r="B6" s="1805" t="s">
        <v>261</v>
      </c>
      <c r="C6" s="1805"/>
      <c r="D6" s="1805"/>
      <c r="E6" s="1805"/>
      <c r="F6" s="1805"/>
      <c r="G6" s="1805"/>
      <c r="H6" s="1805"/>
      <c r="I6" s="1805"/>
      <c r="J6" s="1805"/>
    </row>
    <row r="7" spans="2:19" ht="13.8" thickBot="1">
      <c r="B7" s="1114"/>
      <c r="C7" s="1114"/>
      <c r="D7" s="1114"/>
      <c r="E7" s="1114"/>
      <c r="F7" s="1114"/>
      <c r="G7" s="1114"/>
      <c r="H7" s="1114"/>
      <c r="I7" s="1114"/>
      <c r="J7" s="1114"/>
    </row>
    <row r="8" spans="2:19" ht="13.8" thickTop="1">
      <c r="B8" s="1237"/>
      <c r="C8" s="1237"/>
      <c r="D8" s="1237"/>
      <c r="E8" s="1237"/>
      <c r="F8" s="1237"/>
      <c r="G8" s="1238"/>
      <c r="H8" s="1238"/>
      <c r="I8" s="1238"/>
      <c r="J8" s="1302" t="s">
        <v>307</v>
      </c>
    </row>
    <row r="9" spans="2:19">
      <c r="B9" s="1114"/>
      <c r="C9" s="1864" t="s">
        <v>532</v>
      </c>
      <c r="D9" s="1864"/>
      <c r="E9" s="1864"/>
      <c r="F9" s="1114"/>
      <c r="G9" s="1241" t="s">
        <v>533</v>
      </c>
      <c r="H9" s="1241" t="s">
        <v>260</v>
      </c>
      <c r="I9" s="1241" t="s">
        <v>265</v>
      </c>
      <c r="J9" s="1299" t="s">
        <v>308</v>
      </c>
    </row>
    <row r="10" spans="2:19">
      <c r="B10" s="1114"/>
      <c r="C10" s="1114"/>
      <c r="D10" s="1114"/>
      <c r="E10" s="1114"/>
      <c r="F10" s="1114"/>
      <c r="G10" s="1241" t="s">
        <v>263</v>
      </c>
      <c r="H10" s="1241" t="s">
        <v>264</v>
      </c>
      <c r="I10" s="1241" t="s">
        <v>266</v>
      </c>
      <c r="J10" s="1407" t="str">
        <f>"of " &amp;TEXT('KEY INPUTS'!D34,"0")&amp;" or Prior"</f>
        <v>of 2019 or Prior</v>
      </c>
    </row>
    <row r="11" spans="2:19" ht="13.8" thickBot="1">
      <c r="B11" s="1169"/>
      <c r="C11" s="1169"/>
      <c r="D11" s="1169"/>
      <c r="E11" s="1169"/>
      <c r="F11" s="1169"/>
      <c r="G11" s="1248"/>
      <c r="H11" s="1248" t="s">
        <v>560</v>
      </c>
      <c r="I11" s="1248" t="s">
        <v>306</v>
      </c>
      <c r="J11" s="1408" t="s">
        <v>309</v>
      </c>
      <c r="M11" s="322"/>
      <c r="N11" s="322"/>
      <c r="O11" s="322"/>
      <c r="P11" s="322"/>
      <c r="Q11" s="322"/>
      <c r="R11" s="322"/>
      <c r="S11" s="322"/>
    </row>
    <row r="12" spans="2:19" ht="21" customHeight="1" thickTop="1">
      <c r="B12" s="673"/>
      <c r="C12" s="673"/>
      <c r="D12" s="673"/>
      <c r="E12" s="673"/>
      <c r="F12" s="673"/>
      <c r="G12" s="605"/>
      <c r="H12" s="605"/>
      <c r="I12" s="605"/>
      <c r="J12" s="639"/>
      <c r="M12" s="322"/>
      <c r="N12" s="322"/>
      <c r="O12" s="322"/>
      <c r="P12" s="322"/>
      <c r="Q12" s="322"/>
      <c r="R12" s="322"/>
      <c r="S12" s="322"/>
    </row>
    <row r="13" spans="2:19" ht="21" customHeight="1">
      <c r="B13" s="648"/>
      <c r="C13" s="648"/>
      <c r="D13" s="648"/>
      <c r="E13" s="648"/>
      <c r="F13" s="648"/>
      <c r="G13" s="601"/>
      <c r="H13" s="601"/>
      <c r="I13" s="601"/>
      <c r="J13" s="609"/>
      <c r="M13" s="377"/>
      <c r="N13" s="322"/>
      <c r="O13" s="322"/>
      <c r="P13" s="322"/>
      <c r="Q13" s="322"/>
      <c r="R13" s="322"/>
      <c r="S13" s="322"/>
    </row>
    <row r="14" spans="2:19" ht="21" customHeight="1">
      <c r="B14" s="648"/>
      <c r="C14" s="648"/>
      <c r="D14" s="648"/>
      <c r="E14" s="648"/>
      <c r="F14" s="648"/>
      <c r="G14" s="601"/>
      <c r="H14" s="601"/>
      <c r="I14" s="601"/>
      <c r="J14" s="609"/>
      <c r="M14" s="322"/>
      <c r="N14" s="322"/>
      <c r="O14" s="322"/>
      <c r="P14" s="322"/>
      <c r="Q14" s="322"/>
      <c r="R14" s="322"/>
      <c r="S14" s="322"/>
    </row>
    <row r="15" spans="2:19" ht="21" customHeight="1">
      <c r="B15" s="648"/>
      <c r="C15" s="648"/>
      <c r="D15" s="648"/>
      <c r="E15" s="648"/>
      <c r="F15" s="648"/>
      <c r="G15" s="601"/>
      <c r="H15" s="601"/>
      <c r="I15" s="601"/>
      <c r="J15" s="609"/>
      <c r="M15" s="322"/>
      <c r="N15" s="322"/>
      <c r="O15" s="322"/>
      <c r="P15" s="322"/>
      <c r="Q15" s="322"/>
      <c r="R15" s="322"/>
      <c r="S15" s="322"/>
    </row>
    <row r="16" spans="2:19" ht="21" customHeight="1">
      <c r="B16" s="648"/>
      <c r="C16" s="648"/>
      <c r="D16" s="648"/>
      <c r="E16" s="648"/>
      <c r="F16" s="648"/>
      <c r="G16" s="601"/>
      <c r="H16" s="601"/>
      <c r="I16" s="601"/>
      <c r="J16" s="609"/>
      <c r="M16" s="322"/>
      <c r="N16" s="322"/>
      <c r="O16" s="322"/>
      <c r="P16" s="322"/>
      <c r="Q16" s="322"/>
      <c r="R16" s="322"/>
      <c r="S16" s="322"/>
    </row>
    <row r="17" spans="2:19" ht="21" customHeight="1">
      <c r="B17" s="648"/>
      <c r="C17" s="648"/>
      <c r="D17" s="648"/>
      <c r="E17" s="648"/>
      <c r="F17" s="648"/>
      <c r="G17" s="601"/>
      <c r="H17" s="601"/>
      <c r="I17" s="601"/>
      <c r="J17" s="609"/>
      <c r="M17" s="322"/>
      <c r="N17" s="322"/>
      <c r="O17" s="322"/>
      <c r="P17" s="322"/>
      <c r="Q17" s="322"/>
      <c r="R17" s="322"/>
      <c r="S17" s="322"/>
    </row>
    <row r="18" spans="2:19" ht="21" customHeight="1">
      <c r="B18" s="648"/>
      <c r="C18" s="648"/>
      <c r="D18" s="648"/>
      <c r="E18" s="648"/>
      <c r="F18" s="648"/>
      <c r="G18" s="601"/>
      <c r="H18" s="601"/>
      <c r="I18" s="601"/>
      <c r="J18" s="609"/>
      <c r="M18" s="322"/>
      <c r="N18" s="322"/>
      <c r="O18" s="322"/>
      <c r="P18" s="322"/>
      <c r="Q18" s="322"/>
      <c r="R18" s="322"/>
      <c r="S18" s="322"/>
    </row>
    <row r="19" spans="2:19" ht="21" customHeight="1">
      <c r="B19" s="648"/>
      <c r="C19" s="648"/>
      <c r="D19" s="648"/>
      <c r="E19" s="648"/>
      <c r="F19" s="648"/>
      <c r="G19" s="601"/>
      <c r="H19" s="601"/>
      <c r="I19" s="601"/>
      <c r="J19" s="609"/>
      <c r="M19" s="322"/>
      <c r="N19" s="322"/>
      <c r="O19" s="322"/>
      <c r="P19" s="322"/>
      <c r="Q19" s="322"/>
      <c r="R19" s="322"/>
      <c r="S19" s="322"/>
    </row>
    <row r="20" spans="2:19" ht="21" customHeight="1">
      <c r="B20" s="648"/>
      <c r="C20" s="648"/>
      <c r="D20" s="648"/>
      <c r="E20" s="648"/>
      <c r="F20" s="648"/>
      <c r="G20" s="601"/>
      <c r="H20" s="601"/>
      <c r="I20" s="601"/>
      <c r="J20" s="609"/>
      <c r="M20" s="322"/>
      <c r="N20" s="322"/>
      <c r="O20" s="322"/>
      <c r="P20" s="322"/>
      <c r="Q20" s="322"/>
      <c r="R20" s="322"/>
      <c r="S20" s="322"/>
    </row>
    <row r="21" spans="2:19" ht="21" customHeight="1" thickBot="1">
      <c r="B21" s="648"/>
      <c r="C21" s="648"/>
      <c r="D21" s="648"/>
      <c r="E21" s="648"/>
      <c r="F21" s="648"/>
      <c r="G21" s="627"/>
      <c r="H21" s="627"/>
      <c r="I21" s="627"/>
      <c r="J21" s="671"/>
      <c r="M21" s="322"/>
      <c r="N21" s="322"/>
      <c r="O21" s="322"/>
      <c r="P21" s="322"/>
      <c r="Q21" s="322"/>
      <c r="R21" s="322"/>
      <c r="S21" s="322"/>
    </row>
    <row r="22" spans="2:19" ht="21" customHeight="1" thickTop="1" thickBot="1">
      <c r="B22" s="1169"/>
      <c r="C22" s="1169"/>
      <c r="D22" s="1169"/>
      <c r="E22" s="1169"/>
      <c r="F22" s="1169"/>
      <c r="G22" s="1131">
        <f>SUM(G12:G21)</f>
        <v>0</v>
      </c>
      <c r="H22" s="1131">
        <f>SUM(H12:H21)</f>
        <v>0</v>
      </c>
      <c r="I22" s="1131">
        <f>SUM(I12:I21)</f>
        <v>0</v>
      </c>
      <c r="J22" s="1409">
        <f>SUM(J12:J21)</f>
        <v>0</v>
      </c>
      <c r="M22" s="322"/>
      <c r="N22" s="322"/>
      <c r="O22" s="322"/>
      <c r="P22" s="322"/>
      <c r="Q22" s="322"/>
      <c r="R22" s="322"/>
      <c r="S22" s="322"/>
    </row>
    <row r="23" spans="2:19" ht="13.8" thickTop="1">
      <c r="B23" s="1114"/>
      <c r="C23" s="1114"/>
      <c r="D23" s="1114"/>
      <c r="E23" s="1114"/>
      <c r="F23" s="1114"/>
      <c r="G23" s="1114"/>
      <c r="H23" s="1114"/>
      <c r="I23" s="1114"/>
      <c r="J23" s="1114"/>
      <c r="M23" s="322"/>
      <c r="N23" s="322"/>
      <c r="O23" s="322"/>
      <c r="P23" s="322"/>
      <c r="Q23" s="322"/>
      <c r="R23" s="322"/>
      <c r="S23" s="322"/>
    </row>
    <row r="24" spans="2:19">
      <c r="B24" s="1114"/>
      <c r="C24" s="1114"/>
      <c r="D24" s="1114"/>
      <c r="E24" s="1114"/>
      <c r="F24" s="1114"/>
      <c r="G24" s="1114"/>
      <c r="H24" s="1114"/>
      <c r="I24" s="1114"/>
      <c r="J24" s="1114"/>
      <c r="M24" s="322"/>
      <c r="N24" s="322"/>
      <c r="O24" s="322"/>
      <c r="P24" s="322"/>
      <c r="Q24" s="322"/>
      <c r="R24" s="322"/>
      <c r="S24" s="322"/>
    </row>
    <row r="25" spans="2:19">
      <c r="B25" s="1114"/>
      <c r="C25" s="1114"/>
      <c r="D25" s="1114"/>
      <c r="E25" s="1114"/>
      <c r="F25" s="1114"/>
      <c r="G25" s="1114"/>
      <c r="H25" s="1114"/>
      <c r="I25" s="1114"/>
      <c r="J25" s="1114"/>
      <c r="M25" s="322"/>
      <c r="N25" s="322"/>
      <c r="O25" s="322"/>
      <c r="P25" s="322"/>
      <c r="Q25" s="322"/>
      <c r="R25" s="322"/>
      <c r="S25" s="322"/>
    </row>
    <row r="26" spans="2:19">
      <c r="B26" s="1114"/>
      <c r="C26" s="1114"/>
      <c r="D26" s="1114"/>
      <c r="E26" s="1114"/>
      <c r="F26" s="1114"/>
      <c r="G26" s="1114"/>
      <c r="H26" s="1114"/>
      <c r="I26" s="1114"/>
      <c r="J26" s="1114"/>
      <c r="M26" s="322"/>
      <c r="N26" s="322"/>
      <c r="O26" s="322"/>
      <c r="P26" s="322"/>
      <c r="Q26" s="322"/>
      <c r="R26" s="322"/>
      <c r="S26" s="322"/>
    </row>
    <row r="27" spans="2:19">
      <c r="B27" s="1114"/>
      <c r="C27" s="1114"/>
      <c r="D27" s="1114"/>
      <c r="E27" s="1114"/>
      <c r="F27" s="1114"/>
      <c r="G27" s="1114"/>
      <c r="H27" s="1114"/>
      <c r="I27" s="1114"/>
      <c r="J27" s="1114"/>
      <c r="M27" s="322"/>
      <c r="N27" s="322"/>
      <c r="O27" s="322"/>
      <c r="P27" s="322"/>
      <c r="Q27" s="322"/>
      <c r="R27" s="322"/>
      <c r="S27" s="322"/>
    </row>
    <row r="28" spans="2:19" ht="22.8">
      <c r="B28" s="1759" t="str">
        <f>UPPER('KEY INPUTS'!D$53)&amp;" UTILITY  FUND"</f>
        <v xml:space="preserve"> UTILITY  FUND</v>
      </c>
      <c r="C28" s="1759"/>
      <c r="D28" s="1759"/>
      <c r="E28" s="1759"/>
      <c r="F28" s="1759"/>
      <c r="G28" s="1759"/>
      <c r="H28" s="1759"/>
      <c r="I28" s="1759"/>
      <c r="J28" s="1759"/>
    </row>
    <row r="29" spans="2:19" ht="22.8">
      <c r="B29" s="1759" t="s">
        <v>193</v>
      </c>
      <c r="C29" s="1759"/>
      <c r="D29" s="1759"/>
      <c r="E29" s="1759"/>
      <c r="F29" s="1759"/>
      <c r="G29" s="1759"/>
      <c r="H29" s="1759"/>
      <c r="I29" s="1759"/>
      <c r="J29" s="1759"/>
    </row>
    <row r="30" spans="2:19">
      <c r="B30" s="1114"/>
      <c r="C30" s="1114"/>
      <c r="D30" s="1114"/>
      <c r="E30" s="1114"/>
      <c r="F30" s="1114"/>
      <c r="G30" s="1114"/>
      <c r="H30" s="1114"/>
      <c r="I30" s="1114"/>
      <c r="J30" s="1114"/>
    </row>
    <row r="31" spans="2:19" ht="15.6">
      <c r="B31" s="1766" t="str">
        <f>"YEAR  "&amp;TEXT('KEY INPUTS'!D34,"0")&amp;""</f>
        <v>YEAR  2019</v>
      </c>
      <c r="C31" s="1766"/>
      <c r="D31" s="1766"/>
      <c r="E31" s="1766"/>
      <c r="F31" s="1766"/>
      <c r="G31" s="1766"/>
      <c r="H31" s="1766"/>
      <c r="I31" s="1766"/>
      <c r="J31" s="1766"/>
    </row>
    <row r="32" spans="2:19" ht="13.8" thickBot="1">
      <c r="B32" s="1114"/>
      <c r="C32" s="1114"/>
      <c r="D32" s="1114"/>
      <c r="E32" s="1114"/>
      <c r="F32" s="1114"/>
      <c r="G32" s="1114"/>
      <c r="H32" s="1114"/>
      <c r="I32" s="1114"/>
      <c r="J32" s="1114"/>
    </row>
    <row r="33" spans="2:10" ht="28.5" customHeight="1" thickTop="1" thickBot="1">
      <c r="B33" s="1333"/>
      <c r="C33" s="1333"/>
      <c r="D33" s="1333"/>
      <c r="E33" s="1333"/>
      <c r="F33" s="1333"/>
      <c r="G33" s="1333"/>
      <c r="H33" s="1333"/>
      <c r="I33" s="1115" t="s">
        <v>125</v>
      </c>
      <c r="J33" s="1116" t="s">
        <v>126</v>
      </c>
    </row>
    <row r="34" spans="2:10" ht="21" customHeight="1" thickTop="1">
      <c r="B34" s="1410" t="str">
        <f>'KEY INPUTS'!D25</f>
        <v>Balance - January 1, 2019</v>
      </c>
      <c r="C34" s="1170"/>
      <c r="D34" s="1170"/>
      <c r="E34" s="1170"/>
      <c r="F34" s="1170"/>
      <c r="G34" s="1170"/>
      <c r="H34" s="1170"/>
      <c r="I34" s="1171" t="s">
        <v>787</v>
      </c>
      <c r="J34" s="638"/>
    </row>
    <row r="35" spans="2:10" ht="21" customHeight="1">
      <c r="B35" s="690" t="s">
        <v>195</v>
      </c>
      <c r="C35" s="690"/>
      <c r="D35" s="690"/>
      <c r="E35" s="690"/>
      <c r="F35" s="690"/>
      <c r="G35" s="690"/>
      <c r="H35" s="690"/>
      <c r="I35" s="1174" t="s">
        <v>787</v>
      </c>
      <c r="J35" s="578"/>
    </row>
    <row r="36" spans="2:10" ht="21" customHeight="1">
      <c r="B36" s="690" t="s">
        <v>196</v>
      </c>
      <c r="C36" s="690"/>
      <c r="D36" s="690"/>
      <c r="E36" s="690"/>
      <c r="F36" s="690"/>
      <c r="G36" s="690"/>
      <c r="H36" s="690"/>
      <c r="I36" s="1174" t="s">
        <v>787</v>
      </c>
      <c r="J36" s="578"/>
    </row>
    <row r="37" spans="2:10" ht="21" customHeight="1">
      <c r="B37" s="648" t="s">
        <v>3493</v>
      </c>
      <c r="C37" s="648"/>
      <c r="D37" s="648"/>
      <c r="E37" s="648"/>
      <c r="F37" s="648"/>
      <c r="G37" s="648"/>
      <c r="H37" s="690"/>
      <c r="I37" s="374"/>
      <c r="J37" s="578"/>
    </row>
    <row r="38" spans="2:10" ht="21" customHeight="1">
      <c r="B38" s="648"/>
      <c r="C38" s="648"/>
      <c r="D38" s="648"/>
      <c r="E38" s="648"/>
      <c r="F38" s="648"/>
      <c r="G38" s="648"/>
      <c r="H38" s="690"/>
      <c r="I38" s="374"/>
      <c r="J38" s="578"/>
    </row>
    <row r="39" spans="2:10" ht="21" customHeight="1">
      <c r="B39" s="648"/>
      <c r="C39" s="648"/>
      <c r="D39" s="648"/>
      <c r="E39" s="648"/>
      <c r="F39" s="648"/>
      <c r="G39" s="648"/>
      <c r="H39" s="690"/>
      <c r="I39" s="374"/>
      <c r="J39" s="578"/>
    </row>
    <row r="40" spans="2:10" ht="21" customHeight="1">
      <c r="B40" s="690" t="s">
        <v>3453</v>
      </c>
      <c r="C40" s="690"/>
      <c r="D40" s="690"/>
      <c r="E40" s="690"/>
      <c r="F40" s="690"/>
      <c r="G40" s="690"/>
      <c r="H40" s="690"/>
      <c r="I40" s="374"/>
      <c r="J40" s="1300" t="s">
        <v>787</v>
      </c>
    </row>
    <row r="41" spans="2:10" ht="21" customHeight="1">
      <c r="B41" s="914" t="str">
        <f>"Appropriation to "&amp;'KEY INPUTS'!D34&amp;" Budget Reserve"</f>
        <v>Appropriation to 2019 Budget Reserve</v>
      </c>
      <c r="C41" s="690"/>
      <c r="D41" s="690"/>
      <c r="E41" s="690"/>
      <c r="F41" s="690"/>
      <c r="G41" s="1411"/>
      <c r="H41" s="690"/>
      <c r="I41" s="575"/>
      <c r="J41" s="1300" t="s">
        <v>787</v>
      </c>
    </row>
    <row r="42" spans="2:10" ht="21" customHeight="1">
      <c r="B42" s="690" t="str">
        <f>'KEY INPUTS'!D26</f>
        <v>Balance - December 31, 2019</v>
      </c>
      <c r="C42" s="690"/>
      <c r="D42" s="690"/>
      <c r="E42" s="690"/>
      <c r="F42" s="690"/>
      <c r="G42" s="690"/>
      <c r="H42" s="690"/>
      <c r="I42" s="842">
        <f>SUM(J34:J39)-SUM(I37:I41)</f>
        <v>0</v>
      </c>
      <c r="J42" s="1300" t="s">
        <v>787</v>
      </c>
    </row>
    <row r="43" spans="2:10" ht="21" customHeight="1" thickBot="1">
      <c r="B43" s="1114"/>
      <c r="C43" s="1114"/>
      <c r="D43" s="1114"/>
      <c r="E43" s="1114"/>
      <c r="F43" s="1114"/>
      <c r="G43" s="1114"/>
      <c r="H43" s="1114"/>
      <c r="I43" s="1109">
        <f>SUM(I34:I42)</f>
        <v>0</v>
      </c>
      <c r="J43" s="1412">
        <f>SUM(J34:J42)</f>
        <v>0</v>
      </c>
    </row>
    <row r="44" spans="2:10" ht="21" customHeight="1" thickTop="1"/>
    <row r="45" spans="2:10" ht="21" customHeight="1"/>
    <row r="46" spans="2:10" ht="21" customHeight="1"/>
    <row r="47" spans="2:10" ht="21" customHeight="1"/>
    <row r="48" spans="2:10" ht="21" customHeight="1"/>
    <row r="49" spans="2:10" ht="21" customHeight="1"/>
    <row r="52" spans="2:10" ht="13.8">
      <c r="B52" s="1765" t="s">
        <v>3452</v>
      </c>
      <c r="C52" s="1765"/>
      <c r="D52" s="1765"/>
      <c r="E52" s="1765"/>
      <c r="F52" s="1765"/>
      <c r="G52" s="1765"/>
      <c r="H52" s="1765"/>
      <c r="I52" s="1765"/>
      <c r="J52" s="1765"/>
    </row>
  </sheetData>
  <sheetProtection password="CAF9" sheet="1" objects="1" scenarios="1"/>
  <customSheetViews>
    <customSheetView guid="{AC653BD0-46E3-42CB-9C76-32121A57B65A}" scale="80">
      <selection activeCell="B1" sqref="B1"/>
      <pageMargins left="0.25" right="0.25" top="0.5" bottom="0.5" header="0.25" footer="0.25"/>
      <pageSetup paperSize="5" orientation="portrait" r:id="rId1"/>
      <headerFooter alignWithMargins="0"/>
    </customSheetView>
    <customSheetView guid="{B165479B-DC25-403C-9595-F1A88A4AA9A2}" scale="80">
      <selection activeCell="B1" sqref="B1"/>
      <pageMargins left="0.25" right="0.25" top="0.5" bottom="0.5" header="0.25" footer="0.25"/>
      <pageSetup paperSize="5" orientation="portrait" r:id="rId2"/>
      <headerFooter alignWithMargins="0"/>
    </customSheetView>
    <customSheetView guid="{A64E4C9E-A3DA-4AAA-8607-F524450B9436}" scale="80">
      <selection activeCell="B1" sqref="B1"/>
      <pageMargins left="0.25" right="0.25" top="0.5" bottom="0.5" header="0.25" footer="0.25"/>
      <pageSetup paperSize="5" orientation="portrait" r:id="rId3"/>
      <headerFooter alignWithMargins="0"/>
    </customSheetView>
    <customSheetView guid="{AB4FBD91-4533-473A-9702-569FF6402073}" scale="80">
      <selection activeCell="B1" sqref="B1"/>
      <pageMargins left="0.25" right="0.25" top="0.5" bottom="0.5" header="0.25" footer="0.25"/>
      <pageSetup paperSize="5" orientation="portrait" r:id="rId4"/>
      <headerFooter alignWithMargins="0"/>
    </customSheetView>
  </customSheetViews>
  <mergeCells count="8">
    <mergeCell ref="B31:J31"/>
    <mergeCell ref="B52:J52"/>
    <mergeCell ref="B3:J3"/>
    <mergeCell ref="B5:J5"/>
    <mergeCell ref="B6:J6"/>
    <mergeCell ref="C9:E9"/>
    <mergeCell ref="B28:J28"/>
    <mergeCell ref="B29:J29"/>
  </mergeCells>
  <pageMargins left="0.25" right="0.25" top="0.5" bottom="0.5" header="0.25" footer="0.25"/>
  <pageSetup paperSize="5" orientation="portrait" r:id="rId5"/>
  <headerFooter alignWithMargins="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1">
    <tabColor theme="5" tint="0.59999389629810485"/>
  </sheetPr>
  <dimension ref="B1:R57"/>
  <sheetViews>
    <sheetView topLeftCell="A10" zoomScaleNormal="100" zoomScaleSheetLayoutView="80" workbookViewId="0">
      <selection activeCell="H26" sqref="H26"/>
    </sheetView>
  </sheetViews>
  <sheetFormatPr defaultColWidth="8.88671875" defaultRowHeight="13.2"/>
  <cols>
    <col min="1" max="1" width="4.6640625" style="398" customWidth="1"/>
    <col min="2" max="2" width="4.88671875" style="398" customWidth="1"/>
    <col min="3" max="4" width="4.6640625" style="398" customWidth="1"/>
    <col min="5" max="5" width="30.6640625" style="398" customWidth="1"/>
    <col min="6" max="6" width="15.6640625" style="398" customWidth="1"/>
    <col min="7" max="8" width="16.6640625" style="398" customWidth="1"/>
    <col min="9" max="9" width="3.6640625" style="398" bestFit="1" customWidth="1"/>
    <col min="10" max="10" width="13.5546875" style="398" bestFit="1" customWidth="1"/>
    <col min="11" max="16384" width="8.88671875" style="398"/>
  </cols>
  <sheetData>
    <row r="1" spans="2:18">
      <c r="B1" s="1114"/>
      <c r="C1" s="1114"/>
      <c r="D1" s="1114"/>
      <c r="E1" s="1114"/>
      <c r="F1" s="1114"/>
      <c r="G1" s="1114"/>
      <c r="H1" s="1114"/>
    </row>
    <row r="2" spans="2:18">
      <c r="B2" s="1758" t="s">
        <v>37</v>
      </c>
      <c r="C2" s="1758"/>
      <c r="D2" s="1758"/>
      <c r="E2" s="1758"/>
      <c r="F2" s="1758"/>
      <c r="G2" s="1758"/>
      <c r="H2" s="1758"/>
    </row>
    <row r="3" spans="2:18">
      <c r="B3" s="1758" t="s">
        <v>572</v>
      </c>
      <c r="C3" s="1758"/>
      <c r="D3" s="1758"/>
      <c r="E3" s="1758"/>
      <c r="F3" s="1758"/>
      <c r="G3" s="1758"/>
      <c r="H3" s="1758"/>
    </row>
    <row r="4" spans="2:18">
      <c r="B4" s="1114"/>
      <c r="C4" s="1114"/>
      <c r="D4" s="1114"/>
      <c r="E4" s="1114"/>
      <c r="F4" s="1114"/>
      <c r="G4" s="1114"/>
      <c r="H4" s="1114"/>
    </row>
    <row r="5" spans="2:18" ht="22.8">
      <c r="B5" s="1759" t="s">
        <v>543</v>
      </c>
      <c r="C5" s="1759"/>
      <c r="D5" s="1759"/>
      <c r="E5" s="1759"/>
      <c r="F5" s="1759"/>
      <c r="G5" s="1759"/>
      <c r="H5" s="1759"/>
    </row>
    <row r="6" spans="2:18" ht="22.8">
      <c r="B6" s="1759" t="str">
        <f>"TRIAL  BALANCE - "&amp;UPPER('KEY INPUTS'!D54)&amp;"  UTILITY  FUND"</f>
        <v>TRIAL  BALANCE -   UTILITY  FUND</v>
      </c>
      <c r="C6" s="1759"/>
      <c r="D6" s="1759"/>
      <c r="E6" s="1759"/>
      <c r="F6" s="1759"/>
      <c r="G6" s="1759"/>
      <c r="H6" s="1759"/>
    </row>
    <row r="7" spans="2:18" ht="15.6">
      <c r="B7" s="1760" t="str">
        <f>'KEY INPUTS'!D44</f>
        <v>AS  AT  DECEMBER  31, 2019</v>
      </c>
      <c r="C7" s="1761"/>
      <c r="D7" s="1761"/>
      <c r="E7" s="1761"/>
      <c r="F7" s="1761"/>
      <c r="G7" s="1761"/>
      <c r="H7" s="1761"/>
    </row>
    <row r="8" spans="2:18" ht="15.6">
      <c r="B8" s="1766" t="s">
        <v>573</v>
      </c>
      <c r="C8" s="1766"/>
      <c r="D8" s="1766"/>
      <c r="E8" s="1766"/>
      <c r="F8" s="1766"/>
      <c r="G8" s="1766"/>
      <c r="H8" s="1766"/>
    </row>
    <row r="9" spans="2:18">
      <c r="B9" s="1767" t="s">
        <v>79</v>
      </c>
      <c r="C9" s="1767"/>
      <c r="D9" s="1767"/>
      <c r="E9" s="1767"/>
      <c r="F9" s="1767"/>
      <c r="G9" s="1767"/>
      <c r="H9" s="1767"/>
    </row>
    <row r="10" spans="2:18" ht="15" customHeight="1" thickBot="1">
      <c r="B10" s="1768" t="s">
        <v>80</v>
      </c>
      <c r="C10" s="1768"/>
      <c r="D10" s="1768"/>
      <c r="E10" s="1768"/>
      <c r="F10" s="1768"/>
      <c r="G10" s="1768"/>
      <c r="H10" s="1768"/>
    </row>
    <row r="11" spans="2:18" ht="36" customHeight="1" thickTop="1" thickBot="1">
      <c r="B11" s="1762" t="s">
        <v>124</v>
      </c>
      <c r="C11" s="1762"/>
      <c r="D11" s="1762"/>
      <c r="E11" s="1762"/>
      <c r="F11" s="1763"/>
      <c r="G11" s="1115" t="s">
        <v>125</v>
      </c>
      <c r="H11" s="1116" t="s">
        <v>126</v>
      </c>
      <c r="L11" s="322"/>
      <c r="M11" s="322"/>
      <c r="N11" s="322"/>
      <c r="O11" s="322"/>
      <c r="P11" s="322"/>
      <c r="Q11" s="322"/>
      <c r="R11" s="322"/>
    </row>
    <row r="12" spans="2:18" ht="21" customHeight="1" thickTop="1">
      <c r="B12" s="1114"/>
      <c r="C12" s="1114"/>
      <c r="D12" s="1114"/>
      <c r="E12" s="1114"/>
      <c r="F12" s="1114"/>
      <c r="G12" s="1117"/>
      <c r="H12" s="1118"/>
      <c r="L12" s="322"/>
      <c r="M12" s="322"/>
      <c r="N12" s="322"/>
      <c r="O12" s="322"/>
      <c r="P12" s="322"/>
      <c r="Q12" s="322"/>
      <c r="R12" s="322"/>
    </row>
    <row r="13" spans="2:18" ht="21" customHeight="1">
      <c r="B13" s="690" t="s">
        <v>253</v>
      </c>
      <c r="C13" s="690"/>
      <c r="D13" s="690"/>
      <c r="E13" s="690"/>
      <c r="F13" s="690"/>
      <c r="G13" s="601"/>
      <c r="H13" s="609"/>
      <c r="J13" s="739"/>
      <c r="L13" s="377"/>
      <c r="M13" s="322"/>
      <c r="N13" s="322"/>
      <c r="O13" s="322"/>
      <c r="P13" s="322"/>
      <c r="Q13" s="322"/>
      <c r="R13" s="322"/>
    </row>
    <row r="14" spans="2:18" ht="21" customHeight="1">
      <c r="B14" s="648" t="s">
        <v>419</v>
      </c>
      <c r="C14" s="648"/>
      <c r="D14" s="648"/>
      <c r="E14" s="648"/>
      <c r="F14" s="652"/>
      <c r="G14" s="601"/>
      <c r="H14" s="609"/>
      <c r="J14" s="739"/>
      <c r="L14" s="322"/>
      <c r="M14" s="322"/>
      <c r="N14" s="322"/>
      <c r="O14" s="322"/>
      <c r="P14" s="322"/>
      <c r="Q14" s="322"/>
      <c r="R14" s="322"/>
    </row>
    <row r="15" spans="2:18" ht="21" customHeight="1">
      <c r="B15" s="649"/>
      <c r="C15" s="649"/>
      <c r="D15" s="649"/>
      <c r="E15" s="649"/>
      <c r="F15" s="649"/>
      <c r="G15" s="601"/>
      <c r="H15" s="609"/>
      <c r="L15" s="322"/>
      <c r="M15" s="322"/>
      <c r="N15" s="322"/>
      <c r="O15" s="322"/>
      <c r="P15" s="322"/>
      <c r="Q15" s="322"/>
      <c r="R15" s="322"/>
    </row>
    <row r="16" spans="2:18" ht="21" customHeight="1">
      <c r="B16" s="648" t="s">
        <v>3494</v>
      </c>
      <c r="C16" s="648"/>
      <c r="D16" s="648"/>
      <c r="E16" s="648"/>
      <c r="F16" s="648"/>
      <c r="G16" s="1111"/>
      <c r="H16" s="1111"/>
      <c r="L16" s="322"/>
      <c r="M16" s="322"/>
      <c r="N16" s="322"/>
      <c r="O16" s="322"/>
      <c r="P16" s="322"/>
      <c r="Q16" s="322"/>
      <c r="R16" s="322"/>
    </row>
    <row r="17" spans="2:18" ht="21" customHeight="1">
      <c r="B17" s="648" t="s">
        <v>3494</v>
      </c>
      <c r="C17" s="648"/>
      <c r="D17" s="648"/>
      <c r="E17" s="648"/>
      <c r="F17" s="648"/>
      <c r="G17" s="1111"/>
      <c r="H17" s="1111"/>
      <c r="L17" s="322"/>
      <c r="M17" s="322"/>
      <c r="N17" s="322"/>
      <c r="O17" s="322"/>
      <c r="P17" s="322"/>
      <c r="Q17" s="322"/>
      <c r="R17" s="322"/>
    </row>
    <row r="18" spans="2:18" ht="21" customHeight="1">
      <c r="B18" s="648"/>
      <c r="C18" s="648"/>
      <c r="D18" s="648"/>
      <c r="E18" s="648"/>
      <c r="F18" s="648"/>
      <c r="G18" s="1111"/>
      <c r="H18" s="1111"/>
      <c r="L18" s="322"/>
      <c r="M18" s="322"/>
      <c r="N18" s="322"/>
      <c r="O18" s="322"/>
      <c r="P18" s="322"/>
      <c r="Q18" s="322"/>
      <c r="R18" s="322"/>
    </row>
    <row r="19" spans="2:18" ht="21" customHeight="1">
      <c r="B19" s="1119" t="s">
        <v>3483</v>
      </c>
      <c r="C19" s="1114"/>
      <c r="D19" s="1114"/>
      <c r="E19" s="1114"/>
      <c r="F19" s="1114"/>
      <c r="G19" s="1120"/>
      <c r="H19" s="1121"/>
      <c r="L19" s="322"/>
      <c r="M19" s="322"/>
      <c r="N19" s="322"/>
      <c r="O19" s="322"/>
      <c r="P19" s="322"/>
      <c r="Q19" s="322"/>
      <c r="R19" s="322"/>
    </row>
    <row r="20" spans="2:18" ht="21" customHeight="1">
      <c r="B20" s="690" t="s">
        <v>3484</v>
      </c>
      <c r="C20" s="690"/>
      <c r="D20" s="690"/>
      <c r="E20" s="690"/>
      <c r="F20" s="690"/>
      <c r="G20" s="1122">
        <f>+'47-Utility3'!L24</f>
        <v>0</v>
      </c>
      <c r="H20" s="1123"/>
      <c r="L20" s="322"/>
      <c r="M20" s="322"/>
      <c r="N20" s="322"/>
      <c r="O20" s="322"/>
      <c r="P20" s="322"/>
      <c r="Q20" s="322"/>
      <c r="R20" s="322"/>
    </row>
    <row r="21" spans="2:18" ht="21" customHeight="1">
      <c r="B21" s="690" t="s">
        <v>3485</v>
      </c>
      <c r="C21" s="690"/>
      <c r="D21" s="690"/>
      <c r="E21" s="690"/>
      <c r="F21" s="690"/>
      <c r="G21" s="689">
        <f>+'47-Utility3'!L54</f>
        <v>0</v>
      </c>
      <c r="H21" s="1114"/>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J23" s="739"/>
      <c r="L23" s="322"/>
      <c r="M23" s="322"/>
      <c r="N23" s="322"/>
      <c r="O23" s="322"/>
      <c r="P23" s="322"/>
      <c r="Q23" s="322"/>
      <c r="R23" s="322"/>
    </row>
    <row r="24" spans="2:18" ht="21" customHeight="1">
      <c r="B24" s="648"/>
      <c r="C24" s="648"/>
      <c r="D24" s="648"/>
      <c r="E24" s="648"/>
      <c r="F24" s="648"/>
      <c r="G24" s="601"/>
      <c r="H24" s="609"/>
      <c r="J24" s="73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90" t="s">
        <v>3486</v>
      </c>
      <c r="C26" s="690"/>
      <c r="D26" s="690"/>
      <c r="E26" s="690"/>
      <c r="F26" s="690"/>
      <c r="G26" s="689"/>
      <c r="H26" s="1124"/>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1125" t="s">
        <v>3487</v>
      </c>
      <c r="C30" s="690"/>
      <c r="D30" s="690"/>
      <c r="E30" s="690"/>
      <c r="F30" s="690"/>
      <c r="G30" s="689"/>
      <c r="H30" s="1124"/>
    </row>
    <row r="31" spans="2:18" ht="21" customHeight="1">
      <c r="B31" s="690" t="s">
        <v>3410</v>
      </c>
      <c r="C31" s="690"/>
      <c r="D31" s="690"/>
      <c r="E31" s="690"/>
      <c r="F31" s="690"/>
      <c r="G31" s="601"/>
      <c r="H31" s="1124">
        <f>+'44-Utility3'!I37</f>
        <v>0</v>
      </c>
      <c r="J31" s="739"/>
    </row>
    <row r="32" spans="2:18" ht="21" customHeight="1">
      <c r="B32" s="690" t="s">
        <v>3409</v>
      </c>
      <c r="C32" s="690"/>
      <c r="D32" s="690"/>
      <c r="E32" s="690"/>
      <c r="F32" s="690"/>
      <c r="G32" s="601"/>
      <c r="H32" s="609"/>
    </row>
    <row r="33" spans="2:18" ht="21" customHeight="1">
      <c r="B33" s="690" t="s">
        <v>3408</v>
      </c>
      <c r="C33" s="690"/>
      <c r="D33" s="690"/>
      <c r="E33" s="690"/>
      <c r="F33" s="690"/>
      <c r="G33" s="601"/>
      <c r="H33" s="1126">
        <f>+'49-Utility3'!I29+'49a-Utility3'!I29+'50-Utility3'!M24+'49a.1-Utility3'!I29</f>
        <v>0</v>
      </c>
      <c r="J33" s="739"/>
    </row>
    <row r="34" spans="2:18" ht="21" customHeight="1">
      <c r="B34" s="648" t="s">
        <v>3495</v>
      </c>
      <c r="C34" s="648"/>
      <c r="D34" s="648"/>
      <c r="E34" s="648"/>
      <c r="F34" s="652"/>
      <c r="G34" s="601"/>
      <c r="H34" s="609"/>
    </row>
    <row r="35" spans="2:18" ht="21" customHeight="1">
      <c r="B35" s="648"/>
      <c r="C35" s="648"/>
      <c r="D35" s="648"/>
      <c r="E35" s="648"/>
      <c r="F35" s="648"/>
      <c r="G35" s="601"/>
      <c r="H35" s="609"/>
      <c r="L35" s="322"/>
      <c r="M35" s="322"/>
      <c r="N35" s="322"/>
      <c r="O35" s="322"/>
      <c r="P35" s="322"/>
      <c r="Q35" s="322"/>
      <c r="R35" s="322"/>
    </row>
    <row r="36" spans="2:18" ht="21" customHeight="1">
      <c r="B36" s="648"/>
      <c r="C36" s="648"/>
      <c r="D36" s="648"/>
      <c r="E36" s="648"/>
      <c r="F36" s="648"/>
      <c r="G36" s="601"/>
      <c r="H36" s="609"/>
      <c r="J36" s="739"/>
      <c r="L36" s="322"/>
      <c r="M36" s="322"/>
      <c r="N36" s="322"/>
      <c r="O36" s="322"/>
      <c r="P36" s="322"/>
      <c r="Q36" s="322"/>
      <c r="R36" s="322"/>
    </row>
    <row r="37" spans="2:18" ht="21" customHeight="1">
      <c r="B37" s="648"/>
      <c r="C37" s="648"/>
      <c r="D37" s="648"/>
      <c r="E37" s="648"/>
      <c r="F37" s="648"/>
      <c r="G37" s="601"/>
      <c r="H37" s="609"/>
      <c r="J37" s="739"/>
      <c r="L37" s="322"/>
      <c r="M37" s="322"/>
      <c r="N37" s="322"/>
      <c r="O37" s="322"/>
      <c r="P37" s="322"/>
      <c r="Q37" s="322"/>
      <c r="R37" s="322"/>
    </row>
    <row r="38" spans="2:18" ht="21" customHeight="1" thickBot="1">
      <c r="B38" s="648"/>
      <c r="C38" s="648"/>
      <c r="D38" s="648"/>
      <c r="E38" s="648"/>
      <c r="F38" s="648"/>
      <c r="G38" s="601"/>
      <c r="H38" s="633"/>
      <c r="L38" s="322"/>
      <c r="M38" s="322"/>
      <c r="N38" s="322"/>
      <c r="O38" s="322"/>
      <c r="P38" s="322"/>
      <c r="Q38" s="322"/>
      <c r="R38" s="322"/>
    </row>
    <row r="39" spans="2:18" ht="21" customHeight="1" thickTop="1">
      <c r="B39" s="690"/>
      <c r="C39" s="690" t="s">
        <v>3407</v>
      </c>
      <c r="D39" s="690"/>
      <c r="E39" s="690"/>
      <c r="F39" s="1284"/>
      <c r="G39" s="1285"/>
      <c r="H39" s="1216">
        <f>SUM(H30:H38)</f>
        <v>0</v>
      </c>
      <c r="I39" s="398" t="s">
        <v>997</v>
      </c>
    </row>
    <row r="40" spans="2:18" ht="21" customHeight="1">
      <c r="B40" s="1128" t="s">
        <v>3496</v>
      </c>
      <c r="C40" s="1128"/>
      <c r="D40" s="1128"/>
      <c r="E40" s="1128"/>
      <c r="F40" s="1128"/>
      <c r="G40" s="1123"/>
      <c r="H40" s="631"/>
    </row>
    <row r="41" spans="2:18" ht="21" customHeight="1">
      <c r="B41" s="690"/>
      <c r="C41" s="690"/>
      <c r="D41" s="690"/>
      <c r="E41" s="690"/>
      <c r="F41" s="690"/>
      <c r="G41" s="689"/>
      <c r="H41" s="1124"/>
    </row>
    <row r="42" spans="2:18" ht="21" customHeight="1">
      <c r="B42" s="690" t="s">
        <v>777</v>
      </c>
      <c r="C42" s="690"/>
      <c r="D42" s="690"/>
      <c r="E42" s="690"/>
      <c r="F42" s="690"/>
      <c r="G42" s="689"/>
      <c r="H42" s="1124">
        <f>+'46-Utility3'!K27</f>
        <v>0</v>
      </c>
    </row>
    <row r="43" spans="2:18" ht="21" customHeight="1" thickBot="1">
      <c r="B43" s="690"/>
      <c r="C43" s="690"/>
      <c r="D43" s="690"/>
      <c r="E43" s="690"/>
      <c r="F43" s="690"/>
      <c r="G43" s="1129"/>
      <c r="H43" s="1130"/>
    </row>
    <row r="44" spans="2:18" ht="21" customHeight="1" thickBot="1">
      <c r="B44" s="690" t="s">
        <v>3497</v>
      </c>
      <c r="C44" s="690"/>
      <c r="D44" s="690"/>
      <c r="E44" s="690"/>
      <c r="F44" s="690"/>
      <c r="G44" s="1131">
        <f>SUM(G12:G43)</f>
        <v>0</v>
      </c>
      <c r="H44" s="1132">
        <f>SUM(H39:H43)</f>
        <v>0</v>
      </c>
      <c r="J44" s="399">
        <f>G44-H44</f>
        <v>0</v>
      </c>
    </row>
    <row r="45" spans="2:18" ht="13.8" thickTop="1">
      <c r="B45" s="1864" t="s">
        <v>127</v>
      </c>
      <c r="C45" s="1864"/>
      <c r="D45" s="1864"/>
      <c r="E45" s="1864"/>
      <c r="F45" s="1864"/>
      <c r="G45" s="1864"/>
      <c r="H45" s="1864"/>
    </row>
    <row r="46" spans="2:18">
      <c r="B46" s="1299"/>
      <c r="C46" s="1299"/>
      <c r="D46" s="1299"/>
      <c r="E46" s="1299"/>
      <c r="F46" s="1299"/>
      <c r="G46" s="1299"/>
      <c r="H46" s="1299"/>
    </row>
    <row r="47" spans="2:18">
      <c r="B47" s="1299"/>
      <c r="C47" s="1299"/>
      <c r="D47" s="1299"/>
      <c r="E47" s="1299"/>
      <c r="F47" s="1299"/>
      <c r="G47" s="1299"/>
      <c r="H47" s="1299"/>
    </row>
    <row r="48" spans="2:18">
      <c r="B48" s="1299"/>
      <c r="C48" s="1299"/>
      <c r="D48" s="1299"/>
      <c r="E48" s="1299"/>
      <c r="F48" s="1299"/>
      <c r="G48" s="1299"/>
      <c r="H48" s="1299"/>
    </row>
    <row r="49" spans="2:8">
      <c r="B49" s="1299"/>
      <c r="C49" s="1299"/>
      <c r="D49" s="1299"/>
      <c r="E49" s="1299"/>
      <c r="F49" s="1299"/>
      <c r="G49" s="1299"/>
      <c r="H49" s="1299"/>
    </row>
    <row r="50" spans="2:8" ht="13.8">
      <c r="B50" s="1950" t="s">
        <v>3405</v>
      </c>
      <c r="C50" s="1950"/>
      <c r="D50" s="1950"/>
      <c r="E50" s="1950"/>
      <c r="F50" s="1950"/>
      <c r="G50" s="1950"/>
      <c r="H50" s="1950"/>
    </row>
    <row r="54" spans="2:8">
      <c r="H54" s="399"/>
    </row>
    <row r="57" spans="2:8">
      <c r="H57" s="399">
        <f>+H44-G44</f>
        <v>0</v>
      </c>
    </row>
  </sheetData>
  <sheetProtection algorithmName="SHA-512" hashValue="4yazSR+tbc4JYlKnlzsEIhI6Z3fvcF2lHMf5G80KFyeaMPBQ/vrPAaKcQrQYOrs8NhIy0Sp/jrcPfTjKwDzx0g==" saltValue="rmuZiosXk5YysT5gFXD3Hw==" spinCount="100000" sheet="1" objects="1" scenarios="1"/>
  <customSheetViews>
    <customSheetView guid="{AC653BD0-46E3-42CB-9C76-32121A57B65A}" topLeftCell="A10">
      <selection activeCell="H26" sqref="H26"/>
      <pageMargins left="0.25" right="0.25" top="0.5" bottom="0.5" header="0.25" footer="0.25"/>
      <pageSetup paperSize="5" orientation="portrait" r:id="rId1"/>
      <headerFooter alignWithMargins="0"/>
    </customSheetView>
    <customSheetView guid="{B165479B-DC25-403C-9595-F1A88A4AA9A2}" topLeftCell="A10">
      <selection activeCell="H26" sqref="H26"/>
      <pageMargins left="0.25" right="0.25" top="0.5" bottom="0.5" header="0.25" footer="0.25"/>
      <pageSetup paperSize="5" orientation="portrait" r:id="rId2"/>
      <headerFooter alignWithMargins="0"/>
    </customSheetView>
    <customSheetView guid="{A64E4C9E-A3DA-4AAA-8607-F524450B9436}" topLeftCell="A10">
      <selection activeCell="H26" sqref="H26"/>
      <pageMargins left="0.25" right="0.25" top="0.5" bottom="0.5" header="0.25" footer="0.25"/>
      <pageSetup paperSize="5" orientation="portrait" r:id="rId3"/>
      <headerFooter alignWithMargins="0"/>
    </customSheetView>
    <customSheetView guid="{AB4FBD91-4533-473A-9702-569FF6402073}" topLeftCell="A10">
      <selection activeCell="H26" sqref="H26"/>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2">
    <tabColor theme="5" tint="0.59999389629810485"/>
  </sheetPr>
  <dimension ref="B1:Q55"/>
  <sheetViews>
    <sheetView topLeftCell="A16" zoomScaleNormal="100" zoomScaleSheetLayoutView="80" workbookViewId="0">
      <selection activeCell="B1" sqref="B1"/>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1" spans="2:17">
      <c r="B1" s="1114"/>
      <c r="C1" s="1114"/>
      <c r="D1" s="1114"/>
      <c r="E1" s="1114"/>
      <c r="F1" s="1114"/>
      <c r="G1" s="1114"/>
      <c r="H1" s="1114"/>
    </row>
    <row r="2" spans="2:17">
      <c r="B2" s="1758" t="s">
        <v>37</v>
      </c>
      <c r="C2" s="1758"/>
      <c r="D2" s="1758"/>
      <c r="E2" s="1758"/>
      <c r="F2" s="1758"/>
      <c r="G2" s="1758"/>
      <c r="H2" s="1758"/>
    </row>
    <row r="3" spans="2:17">
      <c r="B3" s="1758" t="s">
        <v>572</v>
      </c>
      <c r="C3" s="1758"/>
      <c r="D3" s="1758"/>
      <c r="E3" s="1758"/>
      <c r="F3" s="1758"/>
      <c r="G3" s="1758"/>
      <c r="H3" s="1758"/>
    </row>
    <row r="4" spans="2:17">
      <c r="B4" s="1114"/>
      <c r="C4" s="1114"/>
      <c r="D4" s="1114"/>
      <c r="E4" s="1114"/>
      <c r="F4" s="1114"/>
      <c r="G4" s="1114"/>
      <c r="H4" s="1114"/>
    </row>
    <row r="5" spans="2:17" ht="22.8">
      <c r="B5" s="1759" t="s">
        <v>543</v>
      </c>
      <c r="C5" s="1759"/>
      <c r="D5" s="1759"/>
      <c r="E5" s="1759"/>
      <c r="F5" s="1759"/>
      <c r="G5" s="1759"/>
      <c r="H5" s="1759"/>
    </row>
    <row r="6" spans="2:17" ht="22.8">
      <c r="B6" s="1759" t="str">
        <f>"TRIAL  BALANCE - "&amp;UPPER('KEY INPUTS'!D54)&amp;"  UTILITY  FUND (cont'd)"</f>
        <v>TRIAL  BALANCE -   UTILITY  FUND (cont'd)</v>
      </c>
      <c r="C6" s="1759"/>
      <c r="D6" s="1759"/>
      <c r="E6" s="1759"/>
      <c r="F6" s="1759"/>
      <c r="G6" s="1759"/>
      <c r="H6" s="1759"/>
    </row>
    <row r="7" spans="2:17" ht="15.6">
      <c r="B7" s="1760" t="str">
        <f>'KEY INPUTS'!D44</f>
        <v>AS  AT  DECEMBER  31, 2019</v>
      </c>
      <c r="C7" s="1761"/>
      <c r="D7" s="1761"/>
      <c r="E7" s="1761"/>
      <c r="F7" s="1761"/>
      <c r="G7" s="1761"/>
      <c r="H7" s="1761"/>
    </row>
    <row r="8" spans="2:17" ht="15.6">
      <c r="B8" s="1766" t="s">
        <v>573</v>
      </c>
      <c r="C8" s="1766"/>
      <c r="D8" s="1766"/>
      <c r="E8" s="1766"/>
      <c r="F8" s="1766"/>
      <c r="G8" s="1766"/>
      <c r="H8" s="1766"/>
    </row>
    <row r="9" spans="2:17">
      <c r="B9" s="1767" t="s">
        <v>79</v>
      </c>
      <c r="C9" s="1767"/>
      <c r="D9" s="1767"/>
      <c r="E9" s="1767"/>
      <c r="F9" s="1767"/>
      <c r="G9" s="1767"/>
      <c r="H9" s="1767"/>
    </row>
    <row r="10" spans="2:17" ht="15" customHeight="1" thickBot="1">
      <c r="B10" s="1768" t="s">
        <v>80</v>
      </c>
      <c r="C10" s="1768"/>
      <c r="D10" s="1768"/>
      <c r="E10" s="1768"/>
      <c r="F10" s="1768"/>
      <c r="G10" s="1768"/>
      <c r="H10" s="1768"/>
    </row>
    <row r="11" spans="2:17" ht="36" customHeight="1" thickTop="1" thickBot="1">
      <c r="B11" s="1762" t="s">
        <v>124</v>
      </c>
      <c r="C11" s="1762"/>
      <c r="D11" s="1762"/>
      <c r="E11" s="1762"/>
      <c r="F11" s="1763"/>
      <c r="G11" s="1115" t="s">
        <v>125</v>
      </c>
      <c r="H11" s="1116" t="s">
        <v>126</v>
      </c>
    </row>
    <row r="12" spans="2:17" ht="21" customHeight="1" thickTop="1">
      <c r="B12" s="1114"/>
      <c r="C12" s="1114"/>
      <c r="D12" s="1114"/>
      <c r="E12" s="1114"/>
      <c r="F12" s="1114"/>
      <c r="G12" s="1117"/>
      <c r="H12" s="1118"/>
    </row>
    <row r="13" spans="2:17" ht="21" customHeight="1">
      <c r="B13" s="1125" t="s">
        <v>808</v>
      </c>
      <c r="C13" s="690"/>
      <c r="D13" s="690"/>
      <c r="E13" s="690"/>
      <c r="F13" s="690"/>
      <c r="G13" s="689"/>
      <c r="H13" s="1124"/>
      <c r="K13" s="322"/>
      <c r="L13" s="322"/>
      <c r="M13" s="322"/>
      <c r="N13" s="322"/>
      <c r="O13" s="322"/>
      <c r="P13" s="322"/>
      <c r="Q13" s="322"/>
    </row>
    <row r="14" spans="2:17" ht="21" customHeight="1">
      <c r="B14" s="690"/>
      <c r="C14" s="690"/>
      <c r="D14" s="690"/>
      <c r="E14" s="690"/>
      <c r="F14" s="690"/>
      <c r="G14" s="689"/>
      <c r="H14" s="1124"/>
      <c r="K14" s="322"/>
      <c r="L14" s="322"/>
      <c r="M14" s="322"/>
      <c r="N14" s="322"/>
      <c r="O14" s="322"/>
      <c r="P14" s="322"/>
      <c r="Q14" s="322"/>
    </row>
    <row r="15" spans="2:17" ht="21" customHeight="1">
      <c r="B15" s="1114" t="s">
        <v>251</v>
      </c>
      <c r="C15" s="690"/>
      <c r="D15" s="690"/>
      <c r="E15" s="690"/>
      <c r="F15" s="690"/>
      <c r="G15" s="372"/>
      <c r="H15" s="1300" t="s">
        <v>787</v>
      </c>
      <c r="K15" s="377"/>
      <c r="L15" s="322"/>
      <c r="M15" s="322"/>
      <c r="N15" s="322"/>
      <c r="O15" s="322"/>
      <c r="P15" s="322"/>
      <c r="Q15" s="322"/>
    </row>
    <row r="16" spans="2:17" ht="21" customHeight="1">
      <c r="B16" s="690" t="s">
        <v>252</v>
      </c>
      <c r="C16" s="690"/>
      <c r="D16" s="690"/>
      <c r="E16" s="690"/>
      <c r="F16" s="690"/>
      <c r="G16" s="1174" t="s">
        <v>787</v>
      </c>
      <c r="H16" s="913">
        <f>+G15</f>
        <v>0</v>
      </c>
      <c r="K16" s="322"/>
      <c r="L16" s="322"/>
      <c r="M16" s="322"/>
      <c r="N16" s="322"/>
      <c r="O16" s="322"/>
      <c r="P16" s="322"/>
      <c r="Q16" s="322"/>
    </row>
    <row r="17" spans="2:17" ht="21" customHeight="1">
      <c r="B17" s="690"/>
      <c r="C17" s="690"/>
      <c r="D17" s="690"/>
      <c r="E17" s="690"/>
      <c r="F17" s="690"/>
      <c r="G17" s="906"/>
      <c r="H17" s="913"/>
      <c r="K17" s="322"/>
      <c r="L17" s="322"/>
      <c r="M17" s="322"/>
      <c r="N17" s="322"/>
      <c r="O17" s="322"/>
      <c r="P17" s="322"/>
      <c r="Q17" s="322"/>
    </row>
    <row r="18" spans="2:17" ht="21" customHeight="1">
      <c r="B18" s="690"/>
      <c r="C18" s="690" t="s">
        <v>459</v>
      </c>
      <c r="D18" s="690"/>
      <c r="E18" s="690"/>
      <c r="F18" s="690"/>
      <c r="G18" s="372"/>
      <c r="H18" s="568"/>
      <c r="K18" s="322"/>
      <c r="L18" s="322"/>
      <c r="M18" s="322"/>
      <c r="N18" s="322"/>
      <c r="O18" s="322"/>
      <c r="P18" s="322"/>
      <c r="Q18" s="322"/>
    </row>
    <row r="19" spans="2:17" ht="21" customHeight="1">
      <c r="B19" s="690"/>
      <c r="C19" s="648"/>
      <c r="D19" s="648"/>
      <c r="E19" s="648"/>
      <c r="F19" s="648"/>
      <c r="G19" s="372"/>
      <c r="H19" s="568"/>
      <c r="K19" s="322"/>
      <c r="L19" s="322"/>
      <c r="M19" s="322"/>
      <c r="N19" s="322"/>
      <c r="O19" s="322"/>
      <c r="P19" s="322"/>
      <c r="Q19" s="322"/>
    </row>
    <row r="20" spans="2:17" ht="21" customHeight="1">
      <c r="B20" s="690"/>
      <c r="C20" s="690" t="s">
        <v>1153</v>
      </c>
      <c r="D20" s="690"/>
      <c r="E20" s="690"/>
      <c r="F20" s="690"/>
      <c r="G20" s="372"/>
      <c r="H20" s="568"/>
      <c r="K20" s="322"/>
      <c r="L20" s="322"/>
      <c r="M20" s="322"/>
      <c r="N20" s="322"/>
      <c r="O20" s="322"/>
      <c r="P20" s="322"/>
      <c r="Q20" s="322"/>
    </row>
    <row r="21" spans="2:17" ht="21" customHeight="1">
      <c r="B21" s="690"/>
      <c r="C21" s="690" t="s">
        <v>809</v>
      </c>
      <c r="D21" s="690"/>
      <c r="E21" s="690"/>
      <c r="F21" s="690"/>
      <c r="G21" s="906"/>
      <c r="H21" s="907"/>
      <c r="K21" s="322"/>
      <c r="L21" s="322"/>
      <c r="M21" s="322"/>
      <c r="N21" s="322"/>
      <c r="O21" s="322"/>
      <c r="P21" s="322"/>
      <c r="Q21" s="322"/>
    </row>
    <row r="22" spans="2:17" ht="21" customHeight="1">
      <c r="B22" s="690"/>
      <c r="C22" s="690"/>
      <c r="D22" s="690" t="s">
        <v>104</v>
      </c>
      <c r="E22" s="690"/>
      <c r="F22" s="690"/>
      <c r="G22" s="372"/>
      <c r="H22" s="568"/>
      <c r="K22" s="322"/>
      <c r="L22" s="322"/>
      <c r="M22" s="322"/>
      <c r="N22" s="322"/>
      <c r="O22" s="322"/>
      <c r="P22" s="322"/>
      <c r="Q22" s="322"/>
    </row>
    <row r="23" spans="2:17" ht="21" customHeight="1">
      <c r="B23" s="690"/>
      <c r="C23" s="690"/>
      <c r="D23" s="690" t="s">
        <v>837</v>
      </c>
      <c r="E23" s="690"/>
      <c r="F23" s="690"/>
      <c r="G23" s="372"/>
      <c r="H23" s="568"/>
      <c r="K23" s="322"/>
      <c r="L23" s="322"/>
      <c r="M23" s="322"/>
      <c r="N23" s="322"/>
      <c r="O23" s="322"/>
      <c r="P23" s="322"/>
      <c r="Q23" s="322"/>
    </row>
    <row r="24" spans="2:17" ht="21" customHeight="1">
      <c r="B24" s="402"/>
      <c r="C24" s="648"/>
      <c r="D24" s="648" t="s">
        <v>3406</v>
      </c>
      <c r="E24" s="648"/>
      <c r="F24" s="648"/>
      <c r="G24" s="372"/>
      <c r="H24" s="589"/>
      <c r="K24" s="322"/>
      <c r="L24" s="322"/>
      <c r="M24" s="322"/>
      <c r="N24" s="322"/>
      <c r="O24" s="322"/>
      <c r="P24" s="322"/>
      <c r="Q24" s="322"/>
    </row>
    <row r="25" spans="2:17" ht="21" customHeight="1">
      <c r="B25" s="402"/>
      <c r="C25" s="648"/>
      <c r="D25" s="648" t="s">
        <v>3406</v>
      </c>
      <c r="E25" s="648"/>
      <c r="F25" s="648"/>
      <c r="G25" s="372"/>
      <c r="H25" s="589" t="s">
        <v>3406</v>
      </c>
    </row>
    <row r="26" spans="2:17" ht="21" customHeight="1">
      <c r="B26" s="402"/>
      <c r="C26" s="649"/>
      <c r="D26" s="648"/>
      <c r="E26" s="648"/>
      <c r="F26" s="648"/>
      <c r="G26" s="372"/>
      <c r="H26" s="651"/>
    </row>
    <row r="27" spans="2:17" ht="21" customHeight="1">
      <c r="B27" s="402"/>
      <c r="C27" s="648" t="s">
        <v>3406</v>
      </c>
      <c r="D27" s="648"/>
      <c r="E27" s="648"/>
      <c r="F27" s="648"/>
      <c r="G27" s="372"/>
      <c r="H27" s="589" t="s">
        <v>3406</v>
      </c>
    </row>
    <row r="28" spans="2:17" ht="21" customHeight="1">
      <c r="B28" s="402"/>
      <c r="C28" s="648"/>
      <c r="D28" s="648"/>
      <c r="E28" s="648"/>
      <c r="F28" s="648"/>
      <c r="G28" s="372"/>
      <c r="H28" s="589"/>
    </row>
    <row r="29" spans="2:17" ht="21" customHeight="1">
      <c r="B29" s="402"/>
      <c r="C29" s="648"/>
      <c r="D29" s="648" t="s">
        <v>3406</v>
      </c>
      <c r="E29" s="648"/>
      <c r="F29" s="648"/>
      <c r="G29" s="372"/>
      <c r="H29" s="589"/>
      <c r="K29" s="322"/>
      <c r="L29" s="322"/>
      <c r="M29" s="322"/>
      <c r="N29" s="322"/>
      <c r="O29" s="322"/>
      <c r="P29" s="322"/>
      <c r="Q29" s="322"/>
    </row>
    <row r="30" spans="2:17" ht="21" customHeight="1">
      <c r="B30" s="402"/>
      <c r="C30" s="648"/>
      <c r="D30" s="648" t="s">
        <v>3406</v>
      </c>
      <c r="E30" s="648"/>
      <c r="F30" s="648"/>
      <c r="G30" s="372"/>
      <c r="H30" s="589"/>
      <c r="K30" s="322"/>
      <c r="L30" s="322"/>
      <c r="M30" s="322"/>
      <c r="N30" s="322"/>
      <c r="O30" s="322"/>
      <c r="P30" s="322"/>
      <c r="Q30" s="322"/>
    </row>
    <row r="31" spans="2:17" ht="21" customHeight="1">
      <c r="B31" s="402"/>
      <c r="C31" s="648"/>
      <c r="D31" s="648" t="s">
        <v>3406</v>
      </c>
      <c r="E31" s="648"/>
      <c r="F31" s="648"/>
      <c r="G31" s="372"/>
      <c r="H31" s="589" t="s">
        <v>3406</v>
      </c>
    </row>
    <row r="32" spans="2:17" ht="21" customHeight="1">
      <c r="B32" s="402"/>
      <c r="C32" s="649"/>
      <c r="D32" s="648"/>
      <c r="E32" s="648"/>
      <c r="F32" s="648"/>
      <c r="G32" s="372"/>
      <c r="H32" s="651"/>
    </row>
    <row r="33" spans="2:17" ht="21" customHeight="1">
      <c r="B33" s="402"/>
      <c r="C33" s="648" t="s">
        <v>3406</v>
      </c>
      <c r="D33" s="648"/>
      <c r="E33" s="648"/>
      <c r="F33" s="648"/>
      <c r="G33" s="372"/>
      <c r="H33" s="589" t="s">
        <v>3406</v>
      </c>
    </row>
    <row r="34" spans="2:17" ht="21" customHeight="1">
      <c r="B34" s="402"/>
      <c r="C34" s="648"/>
      <c r="D34" s="648"/>
      <c r="E34" s="648"/>
      <c r="F34" s="648"/>
      <c r="G34" s="372"/>
      <c r="H34" s="589"/>
    </row>
    <row r="35" spans="2:17" ht="21" customHeight="1">
      <c r="B35" s="402"/>
      <c r="C35" s="648"/>
      <c r="D35" s="648" t="s">
        <v>3406</v>
      </c>
      <c r="E35" s="648"/>
      <c r="F35" s="648"/>
      <c r="G35" s="372"/>
      <c r="H35" s="589"/>
      <c r="K35" s="322"/>
      <c r="L35" s="322"/>
      <c r="M35" s="322"/>
      <c r="N35" s="322"/>
      <c r="O35" s="322"/>
      <c r="P35" s="322"/>
      <c r="Q35" s="322"/>
    </row>
    <row r="36" spans="2:17" ht="21" customHeight="1">
      <c r="B36" s="402"/>
      <c r="C36" s="648"/>
      <c r="D36" s="648" t="s">
        <v>3406</v>
      </c>
      <c r="E36" s="648"/>
      <c r="F36" s="648"/>
      <c r="G36" s="372"/>
      <c r="H36" s="589" t="s">
        <v>3406</v>
      </c>
    </row>
    <row r="37" spans="2:17" ht="21" customHeight="1">
      <c r="B37" s="402"/>
      <c r="C37" s="649"/>
      <c r="D37" s="648"/>
      <c r="E37" s="648"/>
      <c r="F37" s="648"/>
      <c r="G37" s="372"/>
      <c r="H37" s="651"/>
    </row>
    <row r="38" spans="2:17" ht="21" customHeight="1">
      <c r="B38" s="402"/>
      <c r="C38" s="648" t="s">
        <v>3406</v>
      </c>
      <c r="D38" s="648"/>
      <c r="E38" s="648"/>
      <c r="F38" s="648"/>
      <c r="G38" s="372"/>
      <c r="H38" s="589" t="s">
        <v>3406</v>
      </c>
    </row>
    <row r="39" spans="2:17" ht="21" customHeight="1">
      <c r="B39" s="402"/>
      <c r="C39" s="648"/>
      <c r="D39" s="648"/>
      <c r="E39" s="648"/>
      <c r="F39" s="648"/>
      <c r="G39" s="372"/>
      <c r="H39" s="589"/>
    </row>
    <row r="40" spans="2:17" ht="21" customHeight="1">
      <c r="B40" s="402"/>
      <c r="C40" s="648"/>
      <c r="D40" s="648"/>
      <c r="E40" s="648"/>
      <c r="F40" s="648"/>
      <c r="G40" s="372"/>
      <c r="H40" s="589"/>
    </row>
    <row r="41" spans="2:17" ht="21" customHeight="1">
      <c r="B41" s="402"/>
      <c r="C41" s="648" t="s">
        <v>3406</v>
      </c>
      <c r="D41" s="648"/>
      <c r="E41" s="648"/>
      <c r="F41" s="648"/>
      <c r="G41" s="372"/>
      <c r="H41" s="589" t="s">
        <v>3406</v>
      </c>
    </row>
    <row r="42" spans="2:17" ht="21" customHeight="1">
      <c r="B42" s="402"/>
      <c r="C42" s="648" t="s">
        <v>3406</v>
      </c>
      <c r="D42" s="648"/>
      <c r="E42" s="648"/>
      <c r="F42" s="648"/>
      <c r="G42" s="372"/>
      <c r="H42" s="589" t="s">
        <v>3406</v>
      </c>
    </row>
    <row r="43" spans="2:17" ht="21" customHeight="1" thickBot="1">
      <c r="B43" s="690"/>
      <c r="C43" s="690"/>
      <c r="D43" s="690"/>
      <c r="E43" s="690"/>
      <c r="F43" s="690"/>
      <c r="G43" s="1294"/>
      <c r="H43" s="1295"/>
      <c r="I43" s="399"/>
      <c r="M43" s="399"/>
    </row>
    <row r="44" spans="2:17" ht="21" customHeight="1" thickBot="1">
      <c r="B44" s="690"/>
      <c r="C44" s="690" t="s">
        <v>3545</v>
      </c>
      <c r="D44" s="690"/>
      <c r="E44" s="690"/>
      <c r="F44" s="690"/>
      <c r="G44" s="1296">
        <f>SUM(G15:G42)</f>
        <v>0</v>
      </c>
      <c r="H44" s="1297">
        <f>SUM(H15:H43)</f>
        <v>0</v>
      </c>
      <c r="I44" s="399"/>
      <c r="K44" s="399"/>
    </row>
    <row r="45" spans="2:17" ht="13.8" thickTop="1">
      <c r="B45" s="1917" t="s">
        <v>127</v>
      </c>
      <c r="C45" s="1917"/>
      <c r="D45" s="1917"/>
      <c r="E45" s="1917"/>
      <c r="F45" s="1917"/>
      <c r="G45" s="1918"/>
      <c r="H45" s="1918"/>
    </row>
    <row r="46" spans="2:17">
      <c r="B46" s="1299"/>
      <c r="C46" s="1299"/>
      <c r="D46" s="1299"/>
      <c r="E46" s="1299"/>
      <c r="F46" s="1299"/>
      <c r="G46" s="1299"/>
      <c r="H46" s="1299"/>
    </row>
    <row r="47" spans="2:17">
      <c r="B47" s="1299"/>
      <c r="C47" s="1299"/>
      <c r="D47" s="1299"/>
      <c r="E47" s="1299"/>
      <c r="F47" s="1299"/>
      <c r="G47" s="1299"/>
      <c r="H47" s="1299"/>
    </row>
    <row r="48" spans="2:17">
      <c r="B48" s="1299"/>
      <c r="C48" s="1299"/>
      <c r="D48" s="1299"/>
      <c r="E48" s="1299"/>
      <c r="F48" s="1299"/>
      <c r="G48" s="1299"/>
      <c r="H48" s="1299"/>
    </row>
    <row r="49" spans="2:8">
      <c r="B49" s="1299"/>
      <c r="C49" s="1299"/>
      <c r="D49" s="1299"/>
      <c r="E49" s="1299"/>
      <c r="F49" s="1299"/>
      <c r="G49" s="1299"/>
      <c r="H49" s="1299"/>
    </row>
    <row r="50" spans="2:8" ht="13.8">
      <c r="B50" s="1950" t="s">
        <v>3411</v>
      </c>
      <c r="C50" s="1950"/>
      <c r="D50" s="1950"/>
      <c r="E50" s="1950"/>
      <c r="F50" s="1950"/>
      <c r="G50" s="1950"/>
      <c r="H50" s="1950"/>
    </row>
    <row r="55" spans="2:8">
      <c r="H55" s="399"/>
    </row>
  </sheetData>
  <sheetProtection algorithmName="SHA-512" hashValue="nYGNTUAYTkSM/d3/sWFc0rXP5hJyH6keHpbqmGY16EJCtbF/F2bsAIQ+Dw4us36Q5w1C+GczmC6cJcryt/I64w==" saltValue="gXIzFVe8rOszp3O4tWogmQ==" spinCount="100000" sheet="1" objects="1" scenarios="1"/>
  <customSheetViews>
    <customSheetView guid="{AC653BD0-46E3-42CB-9C76-32121A57B65A}" topLeftCell="A16">
      <selection activeCell="B1" sqref="B1"/>
      <pageMargins left="0.25" right="0.25" top="0.5" bottom="0.5" header="0.25" footer="0.25"/>
      <pageSetup paperSize="5" orientation="portrait" r:id="rId1"/>
      <headerFooter alignWithMargins="0"/>
    </customSheetView>
    <customSheetView guid="{B165479B-DC25-403C-9595-F1A88A4AA9A2}" topLeftCell="A16">
      <selection activeCell="B1" sqref="B1"/>
      <pageMargins left="0.25" right="0.25" top="0.5" bottom="0.5" header="0.25" footer="0.25"/>
      <pageSetup paperSize="5" orientation="portrait" r:id="rId2"/>
      <headerFooter alignWithMargins="0"/>
    </customSheetView>
    <customSheetView guid="{A64E4C9E-A3DA-4AAA-8607-F524450B9436}" topLeftCell="A16">
      <selection activeCell="B1" sqref="B1"/>
      <pageMargins left="0.25" right="0.25" top="0.5" bottom="0.5" header="0.25" footer="0.25"/>
      <pageSetup paperSize="5" orientation="portrait" r:id="rId3"/>
      <headerFooter alignWithMargins="0"/>
    </customSheetView>
    <customSheetView guid="{AB4FBD91-4533-473A-9702-569FF6402073}" topLeftCell="A16">
      <selection activeCell="B1" sqref="B1"/>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3">
    <tabColor theme="5" tint="0.59999389629810485"/>
  </sheetPr>
  <dimension ref="B1:Q55"/>
  <sheetViews>
    <sheetView topLeftCell="A7" zoomScaleNormal="100" zoomScaleSheetLayoutView="80" workbookViewId="0">
      <selection activeCell="H22" sqref="H22"/>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1" spans="2:17">
      <c r="B1" s="1114"/>
      <c r="C1" s="1114"/>
      <c r="D1" s="1114"/>
      <c r="E1" s="1114"/>
      <c r="F1" s="1114"/>
      <c r="G1" s="1114"/>
      <c r="H1" s="1114"/>
    </row>
    <row r="2" spans="2:17">
      <c r="B2" s="1758" t="s">
        <v>37</v>
      </c>
      <c r="C2" s="1758"/>
      <c r="D2" s="1758"/>
      <c r="E2" s="1758"/>
      <c r="F2" s="1758"/>
      <c r="G2" s="1758"/>
      <c r="H2" s="1758"/>
    </row>
    <row r="3" spans="2:17">
      <c r="B3" s="1758" t="s">
        <v>572</v>
      </c>
      <c r="C3" s="1758"/>
      <c r="D3" s="1758"/>
      <c r="E3" s="1758"/>
      <c r="F3" s="1758"/>
      <c r="G3" s="1758"/>
      <c r="H3" s="1758"/>
    </row>
    <row r="4" spans="2:17">
      <c r="B4" s="1114"/>
      <c r="C4" s="1114"/>
      <c r="D4" s="1114"/>
      <c r="E4" s="1114"/>
      <c r="F4" s="1114"/>
      <c r="G4" s="1114"/>
      <c r="H4" s="1114"/>
    </row>
    <row r="5" spans="2:17" ht="22.8">
      <c r="B5" s="1759" t="s">
        <v>543</v>
      </c>
      <c r="C5" s="1759"/>
      <c r="D5" s="1759"/>
      <c r="E5" s="1759"/>
      <c r="F5" s="1759"/>
      <c r="G5" s="1759"/>
      <c r="H5" s="1759"/>
    </row>
    <row r="6" spans="2:17" ht="22.8">
      <c r="B6" s="1759" t="str">
        <f>"TRIAL  BALANCE - "&amp;UPPER('KEY INPUTS'!D54)&amp;"  UTILITY  FUND (cont'd)"</f>
        <v>TRIAL  BALANCE -   UTILITY  FUND (cont'd)</v>
      </c>
      <c r="C6" s="1759"/>
      <c r="D6" s="1759"/>
      <c r="E6" s="1759"/>
      <c r="F6" s="1759"/>
      <c r="G6" s="1759"/>
      <c r="H6" s="1759"/>
    </row>
    <row r="7" spans="2:17" ht="15.6">
      <c r="B7" s="1760" t="str">
        <f>'KEY INPUTS'!D44</f>
        <v>AS  AT  DECEMBER  31, 2019</v>
      </c>
      <c r="C7" s="1761"/>
      <c r="D7" s="1761"/>
      <c r="E7" s="1761"/>
      <c r="F7" s="1761"/>
      <c r="G7" s="1761"/>
      <c r="H7" s="1761"/>
    </row>
    <row r="8" spans="2:17" ht="15.6">
      <c r="B8" s="1766" t="s">
        <v>573</v>
      </c>
      <c r="C8" s="1766"/>
      <c r="D8" s="1766"/>
      <c r="E8" s="1766"/>
      <c r="F8" s="1766"/>
      <c r="G8" s="1766"/>
      <c r="H8" s="1766"/>
    </row>
    <row r="9" spans="2:17">
      <c r="B9" s="1767" t="s">
        <v>79</v>
      </c>
      <c r="C9" s="1767"/>
      <c r="D9" s="1767"/>
      <c r="E9" s="1767"/>
      <c r="F9" s="1767"/>
      <c r="G9" s="1767"/>
      <c r="H9" s="1767"/>
    </row>
    <row r="10" spans="2:17" ht="15" customHeight="1" thickBot="1">
      <c r="B10" s="1768" t="s">
        <v>80</v>
      </c>
      <c r="C10" s="1768"/>
      <c r="D10" s="1768"/>
      <c r="E10" s="1768"/>
      <c r="F10" s="1768"/>
      <c r="G10" s="1768"/>
      <c r="H10" s="1768"/>
    </row>
    <row r="11" spans="2:17" ht="36" customHeight="1" thickTop="1" thickBot="1">
      <c r="B11" s="1762" t="s">
        <v>124</v>
      </c>
      <c r="C11" s="1762"/>
      <c r="D11" s="1762"/>
      <c r="E11" s="1762"/>
      <c r="F11" s="1763"/>
      <c r="G11" s="1115" t="s">
        <v>125</v>
      </c>
      <c r="H11" s="1116" t="s">
        <v>126</v>
      </c>
    </row>
    <row r="12" spans="2:17" ht="21" customHeight="1" thickTop="1">
      <c r="B12" s="690"/>
      <c r="C12" s="690" t="s">
        <v>3546</v>
      </c>
      <c r="D12" s="690"/>
      <c r="E12" s="690"/>
      <c r="F12" s="690"/>
      <c r="G12" s="906">
        <f>'41a-Utility3'!G44</f>
        <v>0</v>
      </c>
      <c r="H12" s="913">
        <f>'41a-Utility3'!H44</f>
        <v>0</v>
      </c>
    </row>
    <row r="13" spans="2:17" ht="21" customHeight="1">
      <c r="C13" s="649"/>
      <c r="D13" s="649"/>
      <c r="E13" s="649"/>
      <c r="F13" s="649"/>
      <c r="G13" s="601"/>
      <c r="H13" s="651"/>
    </row>
    <row r="14" spans="2:17" ht="21" customHeight="1">
      <c r="B14" s="407"/>
      <c r="C14" s="648"/>
      <c r="D14" s="648"/>
      <c r="E14" s="648"/>
      <c r="F14" s="648"/>
      <c r="G14" s="601"/>
      <c r="H14" s="609"/>
      <c r="K14" s="322"/>
      <c r="L14" s="322"/>
      <c r="M14" s="322"/>
      <c r="N14" s="322"/>
      <c r="O14" s="322"/>
      <c r="P14" s="322"/>
      <c r="Q14" s="322"/>
    </row>
    <row r="15" spans="2:17" ht="21" customHeight="1">
      <c r="B15" s="402"/>
      <c r="C15" s="648"/>
      <c r="D15" s="648"/>
      <c r="E15" s="648"/>
      <c r="F15" s="648"/>
      <c r="G15" s="601"/>
      <c r="H15" s="609"/>
      <c r="K15" s="322"/>
      <c r="L15" s="322"/>
      <c r="M15" s="322"/>
      <c r="N15" s="322"/>
      <c r="O15" s="322"/>
      <c r="P15" s="322"/>
      <c r="Q15" s="322"/>
    </row>
    <row r="16" spans="2:17" ht="21" customHeight="1">
      <c r="B16" s="402"/>
      <c r="C16" s="648"/>
      <c r="D16" s="648"/>
      <c r="E16" s="648"/>
      <c r="F16" s="648"/>
      <c r="G16" s="372"/>
      <c r="H16" s="589"/>
      <c r="K16" s="322"/>
      <c r="L16" s="322"/>
      <c r="M16" s="322"/>
      <c r="N16" s="322"/>
      <c r="O16" s="322"/>
      <c r="P16" s="322"/>
      <c r="Q16" s="322"/>
    </row>
    <row r="17" spans="2:17" ht="21" customHeight="1">
      <c r="B17" s="690"/>
      <c r="C17" s="690" t="s">
        <v>3414</v>
      </c>
      <c r="D17" s="690"/>
      <c r="E17" s="690"/>
      <c r="F17" s="690"/>
      <c r="G17" s="906"/>
      <c r="H17" s="913">
        <f>+'49-Utility3'!G22</f>
        <v>0</v>
      </c>
      <c r="K17" s="322"/>
      <c r="L17" s="322"/>
      <c r="M17" s="322"/>
      <c r="N17" s="322"/>
      <c r="O17" s="322"/>
      <c r="P17" s="322"/>
      <c r="Q17" s="322"/>
    </row>
    <row r="18" spans="2:17" ht="21" customHeight="1">
      <c r="B18" s="690"/>
      <c r="C18" s="690" t="s">
        <v>3678</v>
      </c>
      <c r="D18" s="690"/>
      <c r="E18" s="690"/>
      <c r="F18" s="690"/>
      <c r="G18" s="906"/>
      <c r="H18" s="913">
        <f>'49a-Utility3'!G11-'49a-Utility3'!G22+'49a.1-Utility3'!G11-'49a.1-Utility3'!G22</f>
        <v>0</v>
      </c>
    </row>
    <row r="19" spans="2:17" ht="21" customHeight="1">
      <c r="B19" s="690"/>
      <c r="C19" s="690" t="s">
        <v>3688</v>
      </c>
      <c r="D19" s="690"/>
      <c r="E19" s="690"/>
      <c r="F19" s="690"/>
      <c r="G19" s="906"/>
      <c r="H19" s="913">
        <f>+'51a-Utility3'!G23</f>
        <v>0</v>
      </c>
      <c r="K19" s="322"/>
      <c r="L19" s="322"/>
      <c r="M19" s="322"/>
      <c r="N19" s="322"/>
      <c r="O19" s="322"/>
      <c r="P19" s="322"/>
      <c r="Q19" s="322"/>
    </row>
    <row r="20" spans="2:17" ht="21" customHeight="1">
      <c r="B20" s="690"/>
      <c r="C20" s="914" t="s">
        <v>3413</v>
      </c>
      <c r="D20" s="690"/>
      <c r="E20" s="690"/>
      <c r="F20" s="690"/>
      <c r="G20" s="906"/>
      <c r="H20" s="913">
        <f>+'50-Utility3'!G18</f>
        <v>0</v>
      </c>
      <c r="K20" s="322"/>
      <c r="L20" s="322"/>
      <c r="M20" s="322"/>
      <c r="N20" s="322"/>
      <c r="O20" s="322"/>
      <c r="P20" s="322"/>
      <c r="Q20" s="322"/>
    </row>
    <row r="21" spans="2:17" ht="21" customHeight="1">
      <c r="B21" s="690"/>
      <c r="C21" s="690" t="s">
        <v>1004</v>
      </c>
      <c r="D21" s="690"/>
      <c r="E21" s="690"/>
      <c r="F21" s="690"/>
      <c r="G21" s="906"/>
      <c r="H21" s="913" t="s">
        <v>3406</v>
      </c>
      <c r="K21" s="322"/>
      <c r="L21" s="322"/>
      <c r="M21" s="322"/>
      <c r="N21" s="322"/>
      <c r="O21" s="322"/>
      <c r="P21" s="322"/>
      <c r="Q21" s="322"/>
    </row>
    <row r="22" spans="2:17" ht="21" customHeight="1">
      <c r="B22" s="690"/>
      <c r="C22" s="690"/>
      <c r="D22" s="690" t="s">
        <v>1001</v>
      </c>
      <c r="E22" s="690"/>
      <c r="F22" s="690"/>
      <c r="G22" s="906"/>
      <c r="H22" s="913">
        <f>+'52-Utility3'!K27</f>
        <v>0</v>
      </c>
      <c r="J22" s="399"/>
      <c r="K22" s="322"/>
      <c r="L22" s="322"/>
      <c r="M22" s="322"/>
      <c r="N22" s="322"/>
      <c r="O22" s="322"/>
      <c r="P22" s="322"/>
      <c r="Q22" s="322"/>
    </row>
    <row r="23" spans="2:17" ht="21" customHeight="1">
      <c r="B23" s="690"/>
      <c r="C23" s="690"/>
      <c r="D23" s="690" t="s">
        <v>1002</v>
      </c>
      <c r="E23" s="690"/>
      <c r="F23" s="690"/>
      <c r="G23" s="906"/>
      <c r="H23" s="913">
        <f>+'52-Utility3'!L27</f>
        <v>0</v>
      </c>
      <c r="J23" s="399"/>
      <c r="K23" s="322"/>
      <c r="L23" s="322"/>
      <c r="M23" s="322"/>
      <c r="N23" s="322"/>
      <c r="O23" s="322"/>
      <c r="P23" s="322"/>
      <c r="Q23" s="322"/>
    </row>
    <row r="24" spans="2:17" ht="21" customHeight="1">
      <c r="B24" s="402"/>
      <c r="C24" s="648" t="s">
        <v>3412</v>
      </c>
      <c r="D24" s="648"/>
      <c r="E24" s="648"/>
      <c r="F24" s="648"/>
      <c r="G24" s="372"/>
      <c r="H24" s="568"/>
    </row>
    <row r="25" spans="2:17" ht="21" customHeight="1">
      <c r="B25" s="402"/>
      <c r="C25" s="648" t="s">
        <v>840</v>
      </c>
      <c r="D25" s="648"/>
      <c r="E25" s="648"/>
      <c r="F25" s="648"/>
      <c r="G25" s="372"/>
      <c r="H25" s="568"/>
    </row>
    <row r="26" spans="2:17" ht="21" customHeight="1">
      <c r="B26" s="402"/>
      <c r="C26" s="648" t="str">
        <f>"DUE TO "&amp;UPPER('KEY INPUTS'!D52)&amp;" OPERATING"</f>
        <v>DUE TO  OPERATING</v>
      </c>
      <c r="D26" s="648"/>
      <c r="E26" s="648"/>
      <c r="F26" s="648"/>
      <c r="G26" s="372"/>
      <c r="H26" s="568"/>
    </row>
    <row r="27" spans="2:17" ht="21" customHeight="1">
      <c r="B27" s="402"/>
      <c r="C27" s="648" t="s">
        <v>839</v>
      </c>
      <c r="D27" s="648"/>
      <c r="E27" s="648"/>
      <c r="F27" s="648"/>
      <c r="G27" s="372"/>
      <c r="H27" s="568"/>
    </row>
    <row r="28" spans="2:17" ht="21" customHeight="1">
      <c r="B28" s="402"/>
      <c r="C28" s="648" t="s">
        <v>838</v>
      </c>
      <c r="D28" s="648"/>
      <c r="E28" s="648"/>
      <c r="F28" s="648"/>
      <c r="G28" s="372"/>
      <c r="H28" s="568"/>
    </row>
    <row r="29" spans="2:17" ht="21" customHeight="1">
      <c r="B29" s="402"/>
      <c r="C29" s="648" t="s">
        <v>370</v>
      </c>
      <c r="D29" s="648"/>
      <c r="E29" s="648"/>
      <c r="F29" s="648"/>
      <c r="G29" s="372"/>
      <c r="H29" s="568"/>
    </row>
    <row r="30" spans="2:17" ht="21" customHeight="1">
      <c r="B30" s="402"/>
      <c r="C30" s="648"/>
      <c r="D30" s="648"/>
      <c r="E30" s="648"/>
      <c r="F30" s="648"/>
      <c r="G30" s="372"/>
      <c r="H30" s="589" t="s">
        <v>3406</v>
      </c>
    </row>
    <row r="31" spans="2:17" ht="21" customHeight="1">
      <c r="B31" s="402"/>
      <c r="C31" s="648"/>
      <c r="D31" s="648"/>
      <c r="E31" s="648"/>
      <c r="F31" s="648"/>
      <c r="G31" s="372"/>
      <c r="H31" s="589" t="s">
        <v>3406</v>
      </c>
    </row>
    <row r="32" spans="2:17" ht="21" customHeight="1">
      <c r="B32" s="402"/>
      <c r="C32" s="648"/>
      <c r="D32" s="648"/>
      <c r="E32" s="648"/>
      <c r="F32" s="648"/>
      <c r="G32" s="372"/>
      <c r="H32" s="651"/>
    </row>
    <row r="33" spans="2:13" ht="21" customHeight="1">
      <c r="B33" s="402"/>
      <c r="C33" s="648"/>
      <c r="D33" s="648"/>
      <c r="E33" s="648"/>
      <c r="F33" s="648"/>
      <c r="G33" s="372"/>
      <c r="H33" s="589" t="s">
        <v>3406</v>
      </c>
    </row>
    <row r="34" spans="2:13" ht="21" customHeight="1">
      <c r="B34" s="402"/>
      <c r="C34" s="648"/>
      <c r="D34" s="648"/>
      <c r="E34" s="648"/>
      <c r="F34" s="648"/>
      <c r="G34" s="372"/>
      <c r="H34" s="589"/>
    </row>
    <row r="35" spans="2:13" ht="21" customHeight="1">
      <c r="B35" s="402"/>
      <c r="C35" s="648"/>
      <c r="D35" s="648"/>
      <c r="E35" s="648"/>
      <c r="F35" s="648"/>
      <c r="G35" s="372"/>
      <c r="H35" s="589"/>
    </row>
    <row r="36" spans="2:13" ht="21" customHeight="1">
      <c r="B36" s="402"/>
      <c r="C36" s="648"/>
      <c r="D36" s="648"/>
      <c r="E36" s="648"/>
      <c r="F36" s="648"/>
      <c r="G36" s="372"/>
      <c r="H36" s="589" t="s">
        <v>3406</v>
      </c>
    </row>
    <row r="37" spans="2:13" ht="21" customHeight="1">
      <c r="B37" s="402"/>
      <c r="C37" s="648"/>
      <c r="D37" s="648"/>
      <c r="E37" s="648"/>
      <c r="F37" s="648"/>
      <c r="G37" s="372"/>
      <c r="H37" s="651"/>
    </row>
    <row r="38" spans="2:13" ht="21" customHeight="1">
      <c r="B38" s="402"/>
      <c r="C38" s="648"/>
      <c r="D38" s="648"/>
      <c r="E38" s="648"/>
      <c r="F38" s="648"/>
      <c r="G38" s="372"/>
      <c r="H38" s="589" t="s">
        <v>3406</v>
      </c>
    </row>
    <row r="39" spans="2:13" ht="21" customHeight="1">
      <c r="B39" s="402"/>
      <c r="C39" s="648"/>
      <c r="D39" s="648"/>
      <c r="E39" s="648"/>
      <c r="F39" s="648"/>
      <c r="G39" s="372"/>
      <c r="H39" s="589"/>
    </row>
    <row r="40" spans="2:13" ht="21" customHeight="1">
      <c r="B40" s="402"/>
      <c r="C40" s="402" t="s">
        <v>3480</v>
      </c>
      <c r="D40" s="402"/>
      <c r="E40" s="402"/>
      <c r="F40" s="402"/>
      <c r="G40" s="337"/>
      <c r="H40" s="311">
        <f>+'53-Utility3'!I41</f>
        <v>0</v>
      </c>
    </row>
    <row r="41" spans="2:13" ht="21" customHeight="1">
      <c r="B41" s="402"/>
      <c r="C41" s="402" t="s">
        <v>1005</v>
      </c>
      <c r="D41" s="402"/>
      <c r="E41" s="402"/>
      <c r="F41" s="402"/>
      <c r="G41" s="337"/>
      <c r="H41" s="311">
        <f>+'53-Utility3'!I24</f>
        <v>0</v>
      </c>
    </row>
    <row r="42" spans="2:13" ht="21" customHeight="1">
      <c r="B42" s="402"/>
      <c r="C42" s="402" t="s">
        <v>807</v>
      </c>
      <c r="D42" s="402"/>
      <c r="E42" s="402"/>
      <c r="F42" s="402"/>
      <c r="G42" s="337"/>
      <c r="H42" s="311">
        <f>+'54-Utility3'!I42</f>
        <v>0</v>
      </c>
    </row>
    <row r="43" spans="2:13" ht="21" customHeight="1" thickBot="1">
      <c r="B43" s="402"/>
      <c r="C43" s="402"/>
      <c r="D43" s="402"/>
      <c r="E43" s="402"/>
      <c r="F43" s="402"/>
      <c r="G43" s="314"/>
      <c r="H43" s="405"/>
      <c r="I43" s="399"/>
      <c r="M43" s="399"/>
    </row>
    <row r="44" spans="2:13" ht="21" customHeight="1" thickBot="1">
      <c r="B44" s="402"/>
      <c r="C44" s="402" t="s">
        <v>1000</v>
      </c>
      <c r="D44" s="402"/>
      <c r="E44" s="402"/>
      <c r="F44" s="402"/>
      <c r="G44" s="343">
        <f>SUM(G12:G42)</f>
        <v>0</v>
      </c>
      <c r="H44" s="404">
        <f>SUM(H12:H43)</f>
        <v>0</v>
      </c>
      <c r="I44" s="399"/>
      <c r="K44" s="399"/>
    </row>
    <row r="45" spans="2:13" ht="13.8" thickTop="1">
      <c r="B45" s="1778" t="s">
        <v>127</v>
      </c>
      <c r="C45" s="1778"/>
      <c r="D45" s="1778"/>
      <c r="E45" s="1778"/>
      <c r="F45" s="1778"/>
      <c r="G45" s="1779"/>
      <c r="H45" s="1779"/>
    </row>
    <row r="46" spans="2:13">
      <c r="B46" s="1008"/>
      <c r="C46" s="1008"/>
      <c r="D46" s="1008"/>
      <c r="E46" s="1008"/>
      <c r="F46" s="1008"/>
      <c r="G46" s="1008"/>
      <c r="H46" s="1008"/>
    </row>
    <row r="47" spans="2:13">
      <c r="B47" s="1008"/>
      <c r="C47" s="1008"/>
      <c r="D47" s="1008"/>
      <c r="E47" s="1008"/>
      <c r="F47" s="1008"/>
      <c r="G47" s="1008"/>
      <c r="H47" s="1008"/>
    </row>
    <row r="48" spans="2:13">
      <c r="B48" s="1008"/>
      <c r="C48" s="1008"/>
      <c r="D48" s="1008"/>
      <c r="E48" s="1008"/>
      <c r="F48" s="1008"/>
      <c r="G48" s="1008"/>
      <c r="H48" s="1008"/>
    </row>
    <row r="49" spans="2:8">
      <c r="B49" s="1008"/>
      <c r="C49" s="1008"/>
      <c r="D49" s="1008"/>
      <c r="E49" s="1008"/>
      <c r="F49" s="1008"/>
      <c r="G49" s="1008"/>
      <c r="H49" s="1008"/>
    </row>
    <row r="50" spans="2:8" ht="13.8">
      <c r="B50" s="1765" t="s">
        <v>3690</v>
      </c>
      <c r="C50" s="1765"/>
      <c r="D50" s="1765"/>
      <c r="E50" s="1765"/>
      <c r="F50" s="1765"/>
      <c r="G50" s="1765"/>
      <c r="H50" s="1765"/>
    </row>
    <row r="55" spans="2:8">
      <c r="H55" s="399"/>
    </row>
  </sheetData>
  <sheetProtection algorithmName="SHA-512" hashValue="4AxC+qc3UAniRinS+OMkyCm9KpR1SPNsDpMkG2eDO+1aW1asjyOo9DmP6cn6FOdxwBG3vQc1sb3os2Lgml9F1g==" saltValue="BFChapRdzubfYYt7/LvCsw==" spinCount="100000" sheet="1" objects="1" scenarios="1"/>
  <customSheetViews>
    <customSheetView guid="{AC653BD0-46E3-42CB-9C76-32121A57B65A}" topLeftCell="A7">
      <selection activeCell="H22" sqref="H22"/>
      <pageMargins left="0.25" right="0.25" top="0.5" bottom="0.5" header="0.25" footer="0.25"/>
      <pageSetup paperSize="5" orientation="portrait" r:id="rId1"/>
      <headerFooter alignWithMargins="0"/>
    </customSheetView>
    <customSheetView guid="{B165479B-DC25-403C-9595-F1A88A4AA9A2}" topLeftCell="A7">
      <selection activeCell="H22" sqref="H22"/>
      <pageMargins left="0.25" right="0.25" top="0.5" bottom="0.5" header="0.25" footer="0.25"/>
      <pageSetup paperSize="5" orientation="portrait" r:id="rId2"/>
      <headerFooter alignWithMargins="0"/>
    </customSheetView>
    <customSheetView guid="{A64E4C9E-A3DA-4AAA-8607-F524450B9436}" topLeftCell="A7">
      <selection activeCell="H22" sqref="H22"/>
      <pageMargins left="0.25" right="0.25" top="0.5" bottom="0.5" header="0.25" footer="0.25"/>
      <pageSetup paperSize="5" orientation="portrait" r:id="rId3"/>
      <headerFooter alignWithMargins="0"/>
    </customSheetView>
    <customSheetView guid="{AB4FBD91-4533-473A-9702-569FF6402073}" topLeftCell="A7">
      <selection activeCell="H22" sqref="H22"/>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4">
    <tabColor theme="5" tint="0.59999389629810485"/>
  </sheetPr>
  <dimension ref="B1:R49"/>
  <sheetViews>
    <sheetView topLeftCell="A16" zoomScaleNormal="100" zoomScaleSheetLayoutView="80" workbookViewId="0">
      <selection activeCell="H38" sqref="H38:H40"/>
    </sheetView>
  </sheetViews>
  <sheetFormatPr defaultColWidth="9.109375" defaultRowHeight="13.2"/>
  <cols>
    <col min="1" max="1" width="4.6640625" style="331" customWidth="1"/>
    <col min="2" max="2" width="4.88671875" style="331" customWidth="1"/>
    <col min="3" max="4" width="4.6640625" style="331" customWidth="1"/>
    <col min="5" max="5" width="30.6640625" style="331" customWidth="1"/>
    <col min="6" max="6" width="15.6640625" style="331" customWidth="1"/>
    <col min="7" max="8" width="16.6640625" style="331" customWidth="1"/>
    <col min="9" max="16384" width="9.109375" style="331"/>
  </cols>
  <sheetData>
    <row r="1" spans="2:18">
      <c r="B1" s="1146"/>
      <c r="C1" s="1146"/>
      <c r="D1" s="1146"/>
      <c r="E1" s="1146"/>
      <c r="F1" s="1146"/>
      <c r="G1" s="1146"/>
      <c r="H1" s="1146"/>
    </row>
    <row r="2" spans="2:18">
      <c r="B2" s="1146"/>
      <c r="C2" s="1146"/>
      <c r="D2" s="1146"/>
      <c r="E2" s="1146"/>
      <c r="F2" s="1146"/>
      <c r="G2" s="1146"/>
      <c r="H2" s="1146"/>
    </row>
    <row r="3" spans="2:18" ht="22.8">
      <c r="B3" s="1782" t="s">
        <v>1043</v>
      </c>
      <c r="C3" s="1782"/>
      <c r="D3" s="1782"/>
      <c r="E3" s="1782"/>
      <c r="F3" s="1782"/>
      <c r="G3" s="1782"/>
      <c r="H3" s="1782"/>
    </row>
    <row r="4" spans="2:18" ht="22.8">
      <c r="B4" s="1782" t="s">
        <v>1044</v>
      </c>
      <c r="C4" s="1782"/>
      <c r="D4" s="1782"/>
      <c r="E4" s="1782"/>
      <c r="F4" s="1782"/>
      <c r="G4" s="1782"/>
      <c r="H4" s="1782"/>
    </row>
    <row r="5" spans="2:18" ht="15.6">
      <c r="B5" s="1783"/>
      <c r="C5" s="1783"/>
      <c r="D5" s="1783"/>
      <c r="E5" s="1783"/>
      <c r="F5" s="1783"/>
      <c r="G5" s="1783"/>
      <c r="H5" s="1783"/>
    </row>
    <row r="6" spans="2:18" ht="13.8">
      <c r="B6" s="1781" t="s">
        <v>1045</v>
      </c>
      <c r="C6" s="1781"/>
      <c r="D6" s="1781"/>
      <c r="E6" s="1781"/>
      <c r="F6" s="1781"/>
      <c r="G6" s="1781"/>
      <c r="H6" s="1781"/>
    </row>
    <row r="7" spans="2:18" ht="13.8">
      <c r="B7" s="1781" t="s">
        <v>1053</v>
      </c>
      <c r="C7" s="1781"/>
      <c r="D7" s="1781"/>
      <c r="E7" s="1781"/>
      <c r="F7" s="1781"/>
      <c r="G7" s="1781"/>
      <c r="H7" s="1781"/>
    </row>
    <row r="8" spans="2:18" ht="13.8">
      <c r="B8" s="1133"/>
      <c r="C8" s="1133"/>
      <c r="D8" s="1133"/>
      <c r="E8" s="1133"/>
      <c r="F8" s="1133"/>
      <c r="G8" s="1133"/>
      <c r="H8" s="1133"/>
    </row>
    <row r="9" spans="2:18" ht="15" customHeight="1" thickBot="1">
      <c r="B9" s="1784" t="str">
        <f>'KEY INPUTS'!D44</f>
        <v>AS  AT  DECEMBER  31, 2019</v>
      </c>
      <c r="C9" s="1783"/>
      <c r="D9" s="1783"/>
      <c r="E9" s="1783"/>
      <c r="F9" s="1783"/>
      <c r="G9" s="1783"/>
      <c r="H9" s="1783"/>
    </row>
    <row r="10" spans="2:18" ht="36" customHeight="1" thickTop="1" thickBot="1">
      <c r="B10" s="1785" t="s">
        <v>124</v>
      </c>
      <c r="C10" s="1785"/>
      <c r="D10" s="1785"/>
      <c r="E10" s="1785"/>
      <c r="F10" s="1786"/>
      <c r="G10" s="1134" t="s">
        <v>125</v>
      </c>
      <c r="H10" s="1135" t="s">
        <v>126</v>
      </c>
    </row>
    <row r="11" spans="2:18" ht="21" customHeight="1" thickTop="1">
      <c r="B11" s="1136" t="s">
        <v>459</v>
      </c>
      <c r="C11" s="1136"/>
      <c r="D11" s="1136"/>
      <c r="E11" s="1136"/>
      <c r="F11" s="1136"/>
      <c r="G11" s="650"/>
      <c r="H11" s="651"/>
      <c r="L11" s="322"/>
      <c r="M11" s="322"/>
      <c r="N11" s="322"/>
      <c r="O11" s="322"/>
      <c r="P11" s="322"/>
      <c r="Q11" s="322"/>
      <c r="R11" s="322"/>
    </row>
    <row r="12" spans="2:18" ht="21" customHeight="1">
      <c r="B12" s="648"/>
      <c r="C12" s="648"/>
      <c r="D12" s="648"/>
      <c r="E12" s="648"/>
      <c r="F12" s="648"/>
      <c r="G12" s="601"/>
      <c r="H12" s="609"/>
      <c r="L12" s="322"/>
      <c r="M12" s="322"/>
      <c r="N12" s="322"/>
      <c r="O12" s="322"/>
      <c r="P12" s="322"/>
      <c r="Q12" s="322"/>
      <c r="R12" s="322"/>
    </row>
    <row r="13" spans="2:18" ht="21" customHeight="1">
      <c r="B13" s="648"/>
      <c r="C13" s="648"/>
      <c r="D13" s="648"/>
      <c r="E13" s="648"/>
      <c r="F13" s="648"/>
      <c r="G13" s="601"/>
      <c r="H13" s="609"/>
      <c r="L13" s="377"/>
      <c r="M13" s="322"/>
      <c r="N13" s="322"/>
      <c r="O13" s="322"/>
      <c r="P13" s="322"/>
      <c r="Q13" s="322"/>
      <c r="R13" s="322"/>
    </row>
    <row r="14" spans="2:18" ht="21" customHeight="1">
      <c r="B14" s="648"/>
      <c r="C14" s="648"/>
      <c r="D14" s="648"/>
      <c r="E14" s="648"/>
      <c r="F14" s="648"/>
      <c r="G14" s="601"/>
      <c r="H14" s="609"/>
      <c r="L14" s="322"/>
      <c r="M14" s="322"/>
      <c r="N14" s="322"/>
      <c r="O14" s="322"/>
      <c r="P14" s="322"/>
      <c r="Q14" s="322"/>
      <c r="R14" s="322"/>
    </row>
    <row r="15" spans="2:18" ht="21" customHeight="1">
      <c r="B15" s="648"/>
      <c r="C15" s="648"/>
      <c r="D15" s="648"/>
      <c r="E15" s="648"/>
      <c r="F15" s="648"/>
      <c r="G15" s="601"/>
      <c r="H15" s="609"/>
      <c r="L15" s="322"/>
      <c r="M15" s="322"/>
      <c r="N15" s="322"/>
      <c r="O15" s="322"/>
      <c r="P15" s="322"/>
      <c r="Q15" s="322"/>
      <c r="R15" s="322"/>
    </row>
    <row r="16" spans="2:18" ht="21" customHeight="1">
      <c r="B16" s="648"/>
      <c r="C16" s="648"/>
      <c r="D16" s="648"/>
      <c r="E16" s="648"/>
      <c r="F16" s="648"/>
      <c r="G16" s="601"/>
      <c r="H16" s="609"/>
      <c r="L16" s="322"/>
      <c r="M16" s="322"/>
      <c r="N16" s="322"/>
      <c r="O16" s="322"/>
      <c r="P16" s="322"/>
      <c r="Q16" s="322"/>
      <c r="R16" s="322"/>
    </row>
    <row r="17" spans="2:18" ht="21" customHeight="1">
      <c r="B17" s="648"/>
      <c r="C17" s="648"/>
      <c r="D17" s="648"/>
      <c r="E17" s="648"/>
      <c r="F17" s="648"/>
      <c r="G17" s="601"/>
      <c r="H17" s="609"/>
      <c r="L17" s="322"/>
      <c r="M17" s="322"/>
      <c r="N17" s="322"/>
      <c r="O17" s="322"/>
      <c r="P17" s="322"/>
      <c r="Q17" s="322"/>
      <c r="R17" s="322"/>
    </row>
    <row r="18" spans="2:18" ht="21" customHeight="1">
      <c r="B18" s="648"/>
      <c r="C18" s="648"/>
      <c r="D18" s="648"/>
      <c r="E18" s="648"/>
      <c r="F18" s="648"/>
      <c r="G18" s="601"/>
      <c r="H18" s="609"/>
      <c r="L18" s="322"/>
      <c r="M18" s="322"/>
      <c r="N18" s="322"/>
      <c r="O18" s="322"/>
      <c r="P18" s="322"/>
      <c r="Q18" s="322"/>
      <c r="R18" s="322"/>
    </row>
    <row r="19" spans="2:18" ht="21" customHeight="1">
      <c r="B19" s="648"/>
      <c r="C19" s="648"/>
      <c r="D19" s="648"/>
      <c r="E19" s="648"/>
      <c r="F19" s="648"/>
      <c r="G19" s="601"/>
      <c r="H19" s="609"/>
      <c r="L19" s="322"/>
      <c r="M19" s="322"/>
      <c r="N19" s="322"/>
      <c r="O19" s="322"/>
      <c r="P19" s="322"/>
      <c r="Q19" s="322"/>
      <c r="R19" s="322"/>
    </row>
    <row r="20" spans="2:18" ht="21" customHeight="1">
      <c r="B20" s="648"/>
      <c r="C20" s="648"/>
      <c r="D20" s="648"/>
      <c r="E20" s="648"/>
      <c r="F20" s="648"/>
      <c r="G20" s="601"/>
      <c r="H20" s="609"/>
      <c r="L20" s="322"/>
      <c r="M20" s="322"/>
      <c r="N20" s="322"/>
      <c r="O20" s="322"/>
      <c r="P20" s="322"/>
      <c r="Q20" s="322"/>
      <c r="R20" s="322"/>
    </row>
    <row r="21" spans="2:18" ht="21" customHeight="1">
      <c r="B21" s="648"/>
      <c r="C21" s="648"/>
      <c r="D21" s="648"/>
      <c r="E21" s="648"/>
      <c r="F21" s="648"/>
      <c r="G21" s="601"/>
      <c r="H21" s="609"/>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L23" s="322"/>
      <c r="M23" s="322"/>
      <c r="N23" s="322"/>
      <c r="O23" s="322"/>
      <c r="P23" s="322"/>
      <c r="Q23" s="322"/>
      <c r="R23" s="322"/>
    </row>
    <row r="24" spans="2:18" ht="21" customHeight="1">
      <c r="B24" s="648"/>
      <c r="C24" s="648"/>
      <c r="D24" s="648"/>
      <c r="E24" s="648"/>
      <c r="F24" s="648"/>
      <c r="G24" s="601"/>
      <c r="H24" s="60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48"/>
      <c r="C26" s="648"/>
      <c r="D26" s="648"/>
      <c r="E26" s="648"/>
      <c r="F26" s="648"/>
      <c r="G26" s="601"/>
      <c r="H26" s="609"/>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648"/>
      <c r="C30" s="648"/>
      <c r="D30" s="648"/>
      <c r="E30" s="648"/>
      <c r="F30" s="648"/>
      <c r="G30" s="601"/>
      <c r="H30" s="609"/>
    </row>
    <row r="31" spans="2:18" ht="21" customHeight="1">
      <c r="B31" s="648"/>
      <c r="C31" s="648"/>
      <c r="D31" s="648"/>
      <c r="E31" s="648"/>
      <c r="F31" s="648"/>
      <c r="G31" s="601"/>
      <c r="H31" s="609"/>
    </row>
    <row r="32" spans="2:18" ht="21" customHeight="1">
      <c r="B32" s="648"/>
      <c r="C32" s="648"/>
      <c r="D32" s="648"/>
      <c r="E32" s="648"/>
      <c r="F32" s="648"/>
      <c r="G32" s="601"/>
      <c r="H32" s="609"/>
    </row>
    <row r="33" spans="2:8" ht="21" customHeight="1">
      <c r="B33" s="648"/>
      <c r="C33" s="648"/>
      <c r="D33" s="648"/>
      <c r="E33" s="648"/>
      <c r="F33" s="648"/>
      <c r="G33" s="601"/>
      <c r="H33" s="609"/>
    </row>
    <row r="34" spans="2:8" ht="21" customHeight="1">
      <c r="B34" s="648"/>
      <c r="C34" s="648"/>
      <c r="D34" s="648"/>
      <c r="E34" s="648"/>
      <c r="F34" s="648"/>
      <c r="G34" s="601"/>
      <c r="H34" s="609"/>
    </row>
    <row r="35" spans="2:8" ht="21" customHeight="1">
      <c r="B35" s="648"/>
      <c r="C35" s="648"/>
      <c r="D35" s="648"/>
      <c r="E35" s="648"/>
      <c r="F35" s="648"/>
      <c r="G35" s="601"/>
      <c r="H35" s="609"/>
    </row>
    <row r="36" spans="2:8" ht="21" customHeight="1">
      <c r="B36" s="648"/>
      <c r="C36" s="648"/>
      <c r="D36" s="648"/>
      <c r="E36" s="648"/>
      <c r="F36" s="648"/>
      <c r="G36" s="601"/>
      <c r="H36" s="609"/>
    </row>
    <row r="37" spans="2:8" ht="21" customHeight="1">
      <c r="B37" s="648"/>
      <c r="C37" s="648"/>
      <c r="D37" s="648"/>
      <c r="E37" s="648"/>
      <c r="F37" s="648"/>
      <c r="G37" s="601"/>
      <c r="H37" s="609"/>
    </row>
    <row r="38" spans="2:8" ht="21" customHeight="1">
      <c r="B38" s="1137" t="s">
        <v>3481</v>
      </c>
      <c r="C38" s="1137"/>
      <c r="D38" s="1137"/>
      <c r="E38" s="1137"/>
      <c r="F38" s="1137"/>
      <c r="G38" s="601"/>
      <c r="H38" s="1126">
        <f>+'51-Utility3'!G23</f>
        <v>0</v>
      </c>
    </row>
    <row r="39" spans="2:8" ht="21" customHeight="1">
      <c r="B39" s="1137" t="s">
        <v>3482</v>
      </c>
      <c r="C39" s="1137"/>
      <c r="D39" s="1137"/>
      <c r="E39" s="1137"/>
      <c r="F39" s="1137"/>
      <c r="G39" s="601"/>
      <c r="H39" s="1126">
        <f>+'49-Utility3'!G11</f>
        <v>0</v>
      </c>
    </row>
    <row r="40" spans="2:8" ht="21" customHeight="1">
      <c r="B40" s="1137" t="s">
        <v>999</v>
      </c>
      <c r="C40" s="1137"/>
      <c r="D40" s="1137"/>
      <c r="E40" s="1137"/>
      <c r="F40" s="1137"/>
      <c r="G40" s="601"/>
      <c r="H40" s="1126">
        <f>'43-Utility3'!L20</f>
        <v>0</v>
      </c>
    </row>
    <row r="41" spans="2:8" ht="21" customHeight="1">
      <c r="B41" s="648"/>
      <c r="C41" s="648"/>
      <c r="D41" s="648"/>
      <c r="E41" s="648"/>
      <c r="F41" s="648"/>
      <c r="G41" s="601"/>
      <c r="H41" s="609"/>
    </row>
    <row r="42" spans="2:8" ht="21" customHeight="1">
      <c r="B42" s="648"/>
      <c r="C42" s="648"/>
      <c r="D42" s="648"/>
      <c r="E42" s="648"/>
      <c r="F42" s="648"/>
      <c r="G42" s="601"/>
      <c r="H42" s="609"/>
    </row>
    <row r="43" spans="2:8" ht="21" customHeight="1">
      <c r="B43" s="1139"/>
      <c r="C43" s="1139"/>
      <c r="D43" s="1139"/>
      <c r="E43" s="1139"/>
      <c r="F43" s="1139"/>
      <c r="G43" s="1105">
        <f>SUM(G11:G42)</f>
        <v>0</v>
      </c>
      <c r="H43" s="1140">
        <f>SUM(H11:H42)</f>
        <v>0</v>
      </c>
    </row>
    <row r="44" spans="2:8">
      <c r="B44" s="1787" t="s">
        <v>127</v>
      </c>
      <c r="C44" s="1787"/>
      <c r="D44" s="1787"/>
      <c r="E44" s="1787"/>
      <c r="F44" s="1787"/>
      <c r="G44" s="1787"/>
      <c r="H44" s="1787"/>
    </row>
    <row r="45" spans="2:8">
      <c r="B45" s="784"/>
      <c r="C45" s="784"/>
      <c r="D45" s="784"/>
      <c r="E45" s="784"/>
      <c r="F45" s="784"/>
      <c r="G45" s="784"/>
      <c r="H45" s="784"/>
    </row>
    <row r="46" spans="2:8">
      <c r="B46" s="784"/>
      <c r="C46" s="784"/>
      <c r="D46" s="784"/>
      <c r="E46" s="784"/>
      <c r="F46" s="784"/>
      <c r="G46" s="784"/>
      <c r="H46" s="784"/>
    </row>
    <row r="47" spans="2:8">
      <c r="B47" s="784"/>
      <c r="C47" s="784"/>
      <c r="D47" s="784"/>
      <c r="E47" s="784"/>
      <c r="F47" s="784"/>
      <c r="G47" s="784"/>
      <c r="H47" s="784"/>
    </row>
    <row r="48" spans="2:8">
      <c r="B48" s="784"/>
      <c r="C48" s="784"/>
      <c r="D48" s="784"/>
      <c r="E48" s="784"/>
      <c r="F48" s="784"/>
      <c r="G48" s="784"/>
      <c r="H48" s="784"/>
    </row>
    <row r="49" spans="2:8" ht="13.8">
      <c r="B49" s="1812" t="s">
        <v>3415</v>
      </c>
      <c r="C49" s="1812"/>
      <c r="D49" s="1812"/>
      <c r="E49" s="1812"/>
      <c r="F49" s="1812"/>
      <c r="G49" s="1812"/>
      <c r="H49" s="1812"/>
    </row>
  </sheetData>
  <sheetProtection algorithmName="SHA-512" hashValue="59qdxE58FLK2XhO65Ri9GmLUsgSbWpejN2oIPFP44n9GA+UER6c7C8U9R11SJ3Bp47FiwybxQWdfQCMeCH3LKQ==" saltValue="jpUXMJPu9eUJAYYml61Hiw==" spinCount="100000" sheet="1" objects="1" scenarios="1"/>
  <customSheetViews>
    <customSheetView guid="{AC653BD0-46E3-42CB-9C76-32121A57B65A}" topLeftCell="A16">
      <selection activeCell="H38" sqref="H38:H40"/>
      <pageMargins left="0.25" right="0.25" top="0.5" bottom="0.5" header="0.25" footer="0.25"/>
      <pageSetup paperSize="5" orientation="portrait" r:id="rId1"/>
      <headerFooter alignWithMargins="0"/>
    </customSheetView>
    <customSheetView guid="{B165479B-DC25-403C-9595-F1A88A4AA9A2}" topLeftCell="A16">
      <selection activeCell="H38" sqref="H38:H40"/>
      <pageMargins left="0.25" right="0.25" top="0.5" bottom="0.5" header="0.25" footer="0.25"/>
      <pageSetup paperSize="5" orientation="portrait" r:id="rId2"/>
      <headerFooter alignWithMargins="0"/>
    </customSheetView>
    <customSheetView guid="{A64E4C9E-A3DA-4AAA-8607-F524450B9436}" topLeftCell="A16">
      <selection activeCell="H38" sqref="H38:H40"/>
      <pageMargins left="0.25" right="0.25" top="0.5" bottom="0.5" header="0.25" footer="0.25"/>
      <pageSetup paperSize="5" orientation="portrait" r:id="rId3"/>
      <headerFooter alignWithMargins="0"/>
    </customSheetView>
    <customSheetView guid="{AB4FBD91-4533-473A-9702-569FF6402073}" topLeftCell="A16">
      <selection activeCell="H38" sqref="H38:H40"/>
      <pageMargins left="0.25" right="0.25" top="0.5" bottom="0.5" header="0.25" footer="0.25"/>
      <pageSetup paperSize="5" orientation="portrait" r:id="rId4"/>
      <headerFooter alignWithMargins="0"/>
    </customSheetView>
  </customSheetViews>
  <mergeCells count="9">
    <mergeCell ref="B10:F10"/>
    <mergeCell ref="B44:H44"/>
    <mergeCell ref="B49:H49"/>
    <mergeCell ref="B3:H3"/>
    <mergeCell ref="B4:H4"/>
    <mergeCell ref="B5:H5"/>
    <mergeCell ref="B6:H6"/>
    <mergeCell ref="B7:H7"/>
    <mergeCell ref="B9:H9"/>
  </mergeCells>
  <pageMargins left="0.25" right="0.25" top="0.5" bottom="0.5" header="0.25" footer="0.25"/>
  <pageSetup paperSize="5" orientation="portrait" r:id="rId5"/>
  <headerFooter alignWithMargins="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5">
    <tabColor theme="5" tint="0.59999389629810485"/>
  </sheetPr>
  <dimension ref="A2:V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0.6640625" style="331" customWidth="1"/>
    <col min="5" max="12" width="15.6640625" style="331" customWidth="1"/>
    <col min="13" max="16384" width="9.109375" style="331"/>
  </cols>
  <sheetData>
    <row r="2" spans="1:22" ht="20.399999999999999">
      <c r="B2" s="1788" t="str">
        <f>"ANALYSIS  OF "&amp;UPPER('KEY INPUTS'!D54)&amp;" UTILITY  ASSESSMENT  TRUST  CASH  AND  INVESTMENTS"</f>
        <v>ANALYSIS  OF  UTILITY  ASSESSMENT  TRUST  CASH  AND  INVESTMENTS</v>
      </c>
      <c r="C2" s="1788"/>
      <c r="D2" s="1788"/>
      <c r="E2" s="1788"/>
      <c r="F2" s="1788"/>
      <c r="G2" s="1788"/>
      <c r="H2" s="1788"/>
      <c r="I2" s="1788"/>
      <c r="J2" s="1788"/>
      <c r="K2" s="1788"/>
      <c r="L2" s="1788"/>
    </row>
    <row r="3" spans="1:22" ht="21" thickBot="1">
      <c r="B3" s="1788" t="s">
        <v>1054</v>
      </c>
      <c r="C3" s="1788"/>
      <c r="D3" s="1788"/>
      <c r="E3" s="1788"/>
      <c r="F3" s="1788"/>
      <c r="G3" s="1788"/>
      <c r="H3" s="1788"/>
      <c r="I3" s="1788"/>
      <c r="J3" s="1788"/>
      <c r="K3" s="1788"/>
      <c r="L3" s="1788"/>
    </row>
    <row r="4" spans="1:22" ht="13.8" thickTop="1">
      <c r="B4" s="1142"/>
      <c r="C4" s="1142"/>
      <c r="D4" s="1142"/>
      <c r="E4" s="1143" t="s">
        <v>670</v>
      </c>
      <c r="F4" s="1142"/>
      <c r="G4" s="1142"/>
      <c r="H4" s="1142"/>
      <c r="I4" s="1142"/>
      <c r="J4" s="1144"/>
      <c r="K4" s="1142"/>
      <c r="L4" s="1145"/>
    </row>
    <row r="5" spans="1:22" ht="15.6">
      <c r="B5" s="1146"/>
      <c r="C5" s="1146" t="s">
        <v>678</v>
      </c>
      <c r="D5" s="1146"/>
      <c r="E5" s="1147" t="s">
        <v>671</v>
      </c>
      <c r="F5" s="1789" t="s">
        <v>672</v>
      </c>
      <c r="G5" s="1790"/>
      <c r="H5" s="1790"/>
      <c r="I5" s="1791"/>
      <c r="J5" s="1148"/>
      <c r="K5" s="1146"/>
      <c r="L5" s="1149" t="s">
        <v>671</v>
      </c>
    </row>
    <row r="6" spans="1:22">
      <c r="B6" s="1146"/>
      <c r="C6" s="1146" t="s">
        <v>679</v>
      </c>
      <c r="D6" s="1146"/>
      <c r="E6" s="1150" t="str">
        <f>'KEY INPUTS'!D45</f>
        <v>Dec. 31, 2018</v>
      </c>
      <c r="F6" s="1147" t="s">
        <v>673</v>
      </c>
      <c r="G6" s="1147" t="s">
        <v>320</v>
      </c>
      <c r="H6" s="1148"/>
      <c r="I6" s="1148"/>
      <c r="J6" s="1148"/>
      <c r="K6" s="1151" t="s">
        <v>677</v>
      </c>
      <c r="L6" s="1152" t="str">
        <f>'KEY INPUTS'!D46</f>
        <v>Dec. 31, 2019</v>
      </c>
    </row>
    <row r="7" spans="1:22" ht="13.8" thickBot="1">
      <c r="B7" s="1153"/>
      <c r="C7" s="1153"/>
      <c r="D7" s="1153"/>
      <c r="E7" s="1154"/>
      <c r="F7" s="1155" t="s">
        <v>674</v>
      </c>
      <c r="G7" s="1155" t="s">
        <v>676</v>
      </c>
      <c r="H7" s="1154"/>
      <c r="I7" s="1154"/>
      <c r="J7" s="1154"/>
      <c r="K7" s="1156"/>
      <c r="L7" s="1157"/>
    </row>
    <row r="8" spans="1:22" ht="21" customHeight="1" thickTop="1">
      <c r="B8" s="1158" t="s">
        <v>781</v>
      </c>
      <c r="C8" s="1158"/>
      <c r="D8" s="1159"/>
      <c r="E8" s="1088" t="s">
        <v>787</v>
      </c>
      <c r="F8" s="1088" t="s">
        <v>787</v>
      </c>
      <c r="G8" s="1088" t="s">
        <v>787</v>
      </c>
      <c r="H8" s="1088" t="s">
        <v>787</v>
      </c>
      <c r="I8" s="1088" t="s">
        <v>787</v>
      </c>
      <c r="J8" s="1088" t="s">
        <v>787</v>
      </c>
      <c r="K8" s="1088" t="s">
        <v>787</v>
      </c>
      <c r="L8" s="867" t="s">
        <v>787</v>
      </c>
      <c r="P8" s="322"/>
      <c r="Q8" s="322"/>
      <c r="R8" s="322"/>
      <c r="S8" s="322"/>
      <c r="T8" s="322"/>
      <c r="U8" s="322"/>
      <c r="V8" s="322"/>
    </row>
    <row r="9" spans="1:22" ht="21" customHeight="1">
      <c r="B9" s="648"/>
      <c r="C9" s="648"/>
      <c r="D9" s="652"/>
      <c r="E9" s="601"/>
      <c r="F9" s="601"/>
      <c r="G9" s="601"/>
      <c r="H9" s="601"/>
      <c r="I9" s="601"/>
      <c r="J9" s="601"/>
      <c r="K9" s="601"/>
      <c r="L9" s="1081">
        <f>+E9+F9+G9+H9+I9+J9-K9</f>
        <v>0</v>
      </c>
      <c r="P9" s="322"/>
      <c r="Q9" s="322"/>
      <c r="R9" s="322"/>
      <c r="S9" s="322"/>
      <c r="T9" s="322"/>
      <c r="U9" s="322"/>
      <c r="V9" s="322"/>
    </row>
    <row r="10" spans="1:22" ht="21" customHeight="1">
      <c r="B10" s="648"/>
      <c r="C10" s="648"/>
      <c r="D10" s="652"/>
      <c r="E10" s="601"/>
      <c r="F10" s="601"/>
      <c r="G10" s="601"/>
      <c r="H10" s="601"/>
      <c r="I10" s="601"/>
      <c r="J10" s="601"/>
      <c r="K10" s="601"/>
      <c r="L10" s="1081">
        <f t="shared" ref="L10:L25" si="0">+E10+F10+G10+H10+I10+J10-K10</f>
        <v>0</v>
      </c>
      <c r="P10" s="377"/>
      <c r="Q10" s="322"/>
      <c r="R10" s="322"/>
      <c r="S10" s="322"/>
      <c r="T10" s="322"/>
      <c r="U10" s="322"/>
      <c r="V10" s="322"/>
    </row>
    <row r="11" spans="1:22" ht="21" customHeight="1">
      <c r="B11" s="648"/>
      <c r="C11" s="648"/>
      <c r="D11" s="652"/>
      <c r="E11" s="601"/>
      <c r="F11" s="601"/>
      <c r="G11" s="601"/>
      <c r="H11" s="601"/>
      <c r="I11" s="601"/>
      <c r="J11" s="601"/>
      <c r="K11" s="601"/>
      <c r="L11" s="1081">
        <f t="shared" si="0"/>
        <v>0</v>
      </c>
      <c r="P11" s="322"/>
      <c r="Q11" s="322"/>
      <c r="R11" s="322"/>
      <c r="S11" s="322"/>
      <c r="T11" s="322"/>
      <c r="U11" s="322"/>
      <c r="V11" s="322"/>
    </row>
    <row r="12" spans="1:22" ht="21" customHeight="1">
      <c r="B12" s="648"/>
      <c r="C12" s="648"/>
      <c r="D12" s="652"/>
      <c r="E12" s="601"/>
      <c r="F12" s="601"/>
      <c r="G12" s="601"/>
      <c r="H12" s="601"/>
      <c r="I12" s="601"/>
      <c r="J12" s="601"/>
      <c r="K12" s="601"/>
      <c r="L12" s="1081">
        <f t="shared" si="0"/>
        <v>0</v>
      </c>
      <c r="P12" s="322"/>
      <c r="Q12" s="322"/>
      <c r="R12" s="322"/>
      <c r="S12" s="322"/>
      <c r="T12" s="322"/>
      <c r="U12" s="322"/>
      <c r="V12" s="322"/>
    </row>
    <row r="13" spans="1:22" ht="21" customHeight="1">
      <c r="B13" s="648"/>
      <c r="C13" s="648"/>
      <c r="D13" s="652"/>
      <c r="E13" s="604"/>
      <c r="F13" s="601"/>
      <c r="G13" s="601"/>
      <c r="H13" s="601"/>
      <c r="I13" s="601"/>
      <c r="J13" s="601"/>
      <c r="K13" s="601"/>
      <c r="L13" s="1081">
        <f t="shared" si="0"/>
        <v>0</v>
      </c>
      <c r="P13" s="322"/>
      <c r="Q13" s="322"/>
      <c r="R13" s="322"/>
      <c r="S13" s="322"/>
      <c r="T13" s="322"/>
      <c r="U13" s="322"/>
      <c r="V13" s="322"/>
    </row>
    <row r="14" spans="1:22" ht="21" customHeight="1">
      <c r="B14" s="1139" t="s">
        <v>782</v>
      </c>
      <c r="C14" s="1139"/>
      <c r="D14" s="1165"/>
      <c r="E14" s="973" t="s">
        <v>787</v>
      </c>
      <c r="F14" s="973" t="s">
        <v>787</v>
      </c>
      <c r="G14" s="973" t="s">
        <v>787</v>
      </c>
      <c r="H14" s="973" t="s">
        <v>787</v>
      </c>
      <c r="I14" s="973" t="s">
        <v>787</v>
      </c>
      <c r="J14" s="973" t="s">
        <v>787</v>
      </c>
      <c r="K14" s="973" t="s">
        <v>787</v>
      </c>
      <c r="L14" s="869" t="s">
        <v>787</v>
      </c>
      <c r="P14" s="322"/>
      <c r="Q14" s="322"/>
      <c r="R14" s="322"/>
      <c r="S14" s="322"/>
      <c r="T14" s="322"/>
      <c r="U14" s="322"/>
      <c r="V14" s="322"/>
    </row>
    <row r="15" spans="1:22" ht="21" customHeight="1">
      <c r="A15" s="1792" t="s">
        <v>3416</v>
      </c>
      <c r="B15" s="648"/>
      <c r="C15" s="648"/>
      <c r="D15" s="652"/>
      <c r="E15" s="601"/>
      <c r="F15" s="601"/>
      <c r="G15" s="601"/>
      <c r="H15" s="601"/>
      <c r="I15" s="601"/>
      <c r="J15" s="601"/>
      <c r="K15" s="601"/>
      <c r="L15" s="1081">
        <f t="shared" si="0"/>
        <v>0</v>
      </c>
      <c r="P15" s="322"/>
      <c r="Q15" s="322"/>
      <c r="R15" s="322"/>
      <c r="S15" s="322"/>
      <c r="T15" s="322"/>
      <c r="U15" s="322"/>
      <c r="V15" s="322"/>
    </row>
    <row r="16" spans="1:22" ht="21" customHeight="1">
      <c r="A16" s="1792"/>
      <c r="B16" s="648"/>
      <c r="C16" s="648"/>
      <c r="D16" s="652"/>
      <c r="E16" s="601"/>
      <c r="F16" s="601"/>
      <c r="G16" s="601"/>
      <c r="H16" s="601"/>
      <c r="I16" s="601"/>
      <c r="J16" s="601"/>
      <c r="K16" s="601"/>
      <c r="L16" s="1081">
        <f t="shared" si="0"/>
        <v>0</v>
      </c>
      <c r="P16" s="322"/>
      <c r="Q16" s="322"/>
      <c r="R16" s="322"/>
      <c r="S16" s="322"/>
      <c r="T16" s="322"/>
      <c r="U16" s="322"/>
      <c r="V16" s="322"/>
    </row>
    <row r="17" spans="1:22" ht="21" customHeight="1">
      <c r="A17" s="1792"/>
      <c r="B17" s="648"/>
      <c r="C17" s="648"/>
      <c r="D17" s="652"/>
      <c r="E17" s="601"/>
      <c r="F17" s="601"/>
      <c r="G17" s="601"/>
      <c r="H17" s="601"/>
      <c r="I17" s="601"/>
      <c r="J17" s="601"/>
      <c r="K17" s="601"/>
      <c r="L17" s="1081">
        <f t="shared" si="0"/>
        <v>0</v>
      </c>
      <c r="P17" s="322"/>
      <c r="Q17" s="322"/>
      <c r="R17" s="322"/>
      <c r="S17" s="322"/>
      <c r="T17" s="322"/>
      <c r="U17" s="322"/>
      <c r="V17" s="322"/>
    </row>
    <row r="18" spans="1:22" ht="21" customHeight="1">
      <c r="B18" s="648"/>
      <c r="C18" s="648"/>
      <c r="D18" s="652"/>
      <c r="E18" s="601"/>
      <c r="F18" s="601"/>
      <c r="G18" s="601"/>
      <c r="H18" s="601"/>
      <c r="I18" s="601"/>
      <c r="J18" s="601"/>
      <c r="K18" s="601"/>
      <c r="L18" s="1081">
        <f t="shared" si="0"/>
        <v>0</v>
      </c>
      <c r="P18" s="322"/>
      <c r="Q18" s="322"/>
      <c r="R18" s="322"/>
      <c r="S18" s="322"/>
      <c r="T18" s="322"/>
      <c r="U18" s="322"/>
      <c r="V18" s="322"/>
    </row>
    <row r="19" spans="1:22" ht="21" customHeight="1">
      <c r="B19" s="1139" t="s">
        <v>783</v>
      </c>
      <c r="C19" s="1139"/>
      <c r="D19" s="1165"/>
      <c r="E19" s="601"/>
      <c r="F19" s="601"/>
      <c r="G19" s="601"/>
      <c r="H19" s="601"/>
      <c r="I19" s="601"/>
      <c r="J19" s="601"/>
      <c r="K19" s="601"/>
      <c r="L19" s="1081">
        <f t="shared" si="0"/>
        <v>0</v>
      </c>
      <c r="P19" s="322"/>
      <c r="Q19" s="322"/>
      <c r="R19" s="322"/>
      <c r="S19" s="322"/>
      <c r="T19" s="322"/>
      <c r="U19" s="322"/>
      <c r="V19" s="322"/>
    </row>
    <row r="20" spans="1:22" ht="21" customHeight="1">
      <c r="B20" s="1139" t="s">
        <v>784</v>
      </c>
      <c r="C20" s="1139"/>
      <c r="D20" s="1165"/>
      <c r="E20" s="601"/>
      <c r="F20" s="601"/>
      <c r="G20" s="601"/>
      <c r="H20" s="601"/>
      <c r="I20" s="601"/>
      <c r="J20" s="601"/>
      <c r="K20" s="601"/>
      <c r="L20" s="1081">
        <f t="shared" si="0"/>
        <v>0</v>
      </c>
      <c r="P20" s="322"/>
      <c r="Q20" s="322"/>
      <c r="R20" s="322"/>
      <c r="S20" s="322"/>
      <c r="T20" s="322"/>
      <c r="U20" s="322"/>
      <c r="V20" s="322"/>
    </row>
    <row r="21" spans="1:22" ht="21" customHeight="1">
      <c r="B21" s="1139" t="s">
        <v>321</v>
      </c>
      <c r="C21" s="1139"/>
      <c r="D21" s="1165"/>
      <c r="E21" s="973" t="s">
        <v>787</v>
      </c>
      <c r="F21" s="973" t="s">
        <v>787</v>
      </c>
      <c r="G21" s="973" t="s">
        <v>787</v>
      </c>
      <c r="H21" s="973" t="s">
        <v>787</v>
      </c>
      <c r="I21" s="973" t="s">
        <v>787</v>
      </c>
      <c r="J21" s="973" t="s">
        <v>787</v>
      </c>
      <c r="K21" s="973" t="s">
        <v>787</v>
      </c>
      <c r="L21" s="869" t="s">
        <v>787</v>
      </c>
      <c r="P21" s="322"/>
      <c r="Q21" s="322"/>
      <c r="R21" s="322"/>
      <c r="S21" s="322"/>
      <c r="T21" s="322"/>
      <c r="U21" s="322"/>
      <c r="V21" s="322"/>
    </row>
    <row r="22" spans="1:22" ht="21" customHeight="1">
      <c r="B22" s="648"/>
      <c r="C22" s="648"/>
      <c r="D22" s="652"/>
      <c r="E22" s="601"/>
      <c r="F22" s="601"/>
      <c r="G22" s="601"/>
      <c r="H22" s="601"/>
      <c r="I22" s="601"/>
      <c r="J22" s="601"/>
      <c r="K22" s="601"/>
      <c r="L22" s="1081">
        <f t="shared" si="0"/>
        <v>0</v>
      </c>
      <c r="P22" s="322"/>
      <c r="Q22" s="322"/>
      <c r="R22" s="322"/>
      <c r="S22" s="322"/>
      <c r="T22" s="322"/>
      <c r="U22" s="322"/>
      <c r="V22" s="322"/>
    </row>
    <row r="23" spans="1:22" ht="21" customHeight="1">
      <c r="B23" s="648"/>
      <c r="C23" s="648"/>
      <c r="D23" s="652"/>
      <c r="E23" s="601"/>
      <c r="F23" s="601"/>
      <c r="G23" s="601"/>
      <c r="H23" s="601"/>
      <c r="I23" s="601"/>
      <c r="J23" s="601"/>
      <c r="K23" s="601"/>
      <c r="L23" s="1081">
        <f t="shared" si="0"/>
        <v>0</v>
      </c>
      <c r="P23" s="322"/>
      <c r="Q23" s="322"/>
      <c r="R23" s="322"/>
      <c r="S23" s="322"/>
      <c r="T23" s="322"/>
      <c r="U23" s="322"/>
      <c r="V23" s="322"/>
    </row>
    <row r="24" spans="1:22" ht="21" customHeight="1">
      <c r="B24" s="648"/>
      <c r="C24" s="648"/>
      <c r="D24" s="652"/>
      <c r="E24" s="601"/>
      <c r="F24" s="601"/>
      <c r="G24" s="601"/>
      <c r="H24" s="601"/>
      <c r="I24" s="601"/>
      <c r="J24" s="601"/>
      <c r="K24" s="601"/>
      <c r="L24" s="1081">
        <f t="shared" si="0"/>
        <v>0</v>
      </c>
      <c r="P24" s="322"/>
      <c r="Q24" s="322"/>
      <c r="R24" s="322"/>
      <c r="S24" s="322"/>
      <c r="T24" s="322"/>
      <c r="U24" s="322"/>
      <c r="V24" s="322"/>
    </row>
    <row r="25" spans="1:22" ht="21" customHeight="1" thickBot="1">
      <c r="B25" s="648"/>
      <c r="C25" s="648"/>
      <c r="D25" s="652"/>
      <c r="E25" s="627"/>
      <c r="F25" s="627"/>
      <c r="G25" s="627"/>
      <c r="H25" s="627"/>
      <c r="I25" s="627"/>
      <c r="J25" s="627"/>
      <c r="K25" s="627"/>
      <c r="L25" s="1160">
        <f t="shared" si="0"/>
        <v>0</v>
      </c>
    </row>
    <row r="26" spans="1:22" ht="21" customHeight="1" thickTop="1" thickBot="1">
      <c r="B26" s="1162"/>
      <c r="C26" s="1162"/>
      <c r="D26" s="1163"/>
      <c r="E26" s="1083">
        <f t="shared" ref="E26:K26" si="1">SUM(E9:E25)</f>
        <v>0</v>
      </c>
      <c r="F26" s="1083">
        <f t="shared" si="1"/>
        <v>0</v>
      </c>
      <c r="G26" s="1083">
        <f t="shared" si="1"/>
        <v>0</v>
      </c>
      <c r="H26" s="1083">
        <f t="shared" si="1"/>
        <v>0</v>
      </c>
      <c r="I26" s="1083">
        <f t="shared" si="1"/>
        <v>0</v>
      </c>
      <c r="J26" s="1083">
        <f t="shared" si="1"/>
        <v>0</v>
      </c>
      <c r="K26" s="1083">
        <f t="shared" si="1"/>
        <v>0</v>
      </c>
      <c r="L26" s="1161">
        <f>SUM(L9:L25)</f>
        <v>0</v>
      </c>
    </row>
    <row r="27" spans="1:22" ht="13.8" thickTop="1">
      <c r="B27" s="1164" t="s">
        <v>786</v>
      </c>
      <c r="C27" s="1146"/>
      <c r="D27" s="1146"/>
      <c r="E27" s="1146"/>
      <c r="F27" s="1146"/>
      <c r="G27" s="1146"/>
      <c r="H27" s="1146"/>
      <c r="I27" s="1146"/>
      <c r="J27" s="1146"/>
      <c r="K27" s="1146"/>
      <c r="L27" s="1146"/>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4">
    <mergeCell ref="B2:L2"/>
    <mergeCell ref="B3:L3"/>
    <mergeCell ref="F5:I5"/>
    <mergeCell ref="A15:A17"/>
  </mergeCells>
  <pageMargins left="0.25" right="0.25" top="0.5" bottom="0.5" header="0.25" footer="0.25"/>
  <pageSetup paperSize="5" orientation="landscape" r:id="rId5"/>
  <headerFooter alignWithMargins="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6">
    <tabColor theme="5" tint="0.59999389629810485"/>
  </sheetPr>
  <dimension ref="B1:T55"/>
  <sheetViews>
    <sheetView zoomScaleNormal="100" zoomScaleSheetLayoutView="80" workbookViewId="0">
      <selection activeCell="B14" sqref="B14"/>
    </sheetView>
  </sheetViews>
  <sheetFormatPr defaultColWidth="8.88671875" defaultRowHeight="13.2"/>
  <cols>
    <col min="1" max="1" width="4.6640625" style="398" customWidth="1"/>
    <col min="2" max="3" width="3.6640625" style="398" customWidth="1"/>
    <col min="4" max="4" width="4.6640625" style="398" customWidth="1"/>
    <col min="5" max="5" width="8.88671875" style="398"/>
    <col min="6" max="6" width="16.6640625" style="398" customWidth="1"/>
    <col min="7" max="7" width="8.6640625" style="398" customWidth="1"/>
    <col min="8" max="10" width="16.6640625" style="398" customWidth="1"/>
    <col min="11" max="11" width="8.88671875" style="398"/>
    <col min="12" max="12" width="11.33203125" style="398" bestFit="1" customWidth="1"/>
    <col min="13" max="16384" width="8.88671875" style="398"/>
  </cols>
  <sheetData>
    <row r="1" spans="2:20">
      <c r="B1" s="1114"/>
      <c r="C1" s="1114"/>
      <c r="D1" s="1114"/>
      <c r="E1" s="1114"/>
      <c r="F1" s="1114"/>
      <c r="G1" s="1114"/>
      <c r="H1" s="1114"/>
      <c r="I1" s="1114"/>
      <c r="J1" s="1114"/>
    </row>
    <row r="2" spans="2:20" ht="22.8">
      <c r="B2" s="1759" t="str">
        <f>"SCHEDULE  OF "&amp;UPPER('KEY INPUTS'!D54)&amp;" UTILITY  BUDGET  -  "&amp;TEXT('KEY INPUTS'!D34,"0")&amp;""</f>
        <v>SCHEDULE  OF  UTILITY  BUDGET  -  2019</v>
      </c>
      <c r="C2" s="1759"/>
      <c r="D2" s="1759"/>
      <c r="E2" s="1759"/>
      <c r="F2" s="1759"/>
      <c r="G2" s="1759"/>
      <c r="H2" s="1759"/>
      <c r="I2" s="1759"/>
      <c r="J2" s="1759"/>
    </row>
    <row r="3" spans="2:20" ht="12" customHeight="1">
      <c r="B3" s="1301"/>
      <c r="C3" s="1301"/>
      <c r="D3" s="1301"/>
      <c r="E3" s="1301"/>
      <c r="F3" s="1301"/>
      <c r="G3" s="1301"/>
      <c r="H3" s="1301"/>
      <c r="I3" s="1301"/>
      <c r="J3" s="1301"/>
    </row>
    <row r="4" spans="2:20" ht="17.25" customHeight="1" thickBot="1">
      <c r="B4" s="1919" t="s">
        <v>1055</v>
      </c>
      <c r="C4" s="1919"/>
      <c r="D4" s="1919"/>
      <c r="E4" s="1919"/>
      <c r="F4" s="1919"/>
      <c r="G4" s="1919"/>
      <c r="H4" s="1919"/>
      <c r="I4" s="1919"/>
      <c r="J4" s="1919"/>
    </row>
    <row r="5" spans="2:20" ht="13.8" thickTop="1">
      <c r="B5" s="1920" t="s">
        <v>211</v>
      </c>
      <c r="C5" s="1920"/>
      <c r="D5" s="1920"/>
      <c r="E5" s="1920"/>
      <c r="F5" s="1920"/>
      <c r="G5" s="1885"/>
      <c r="H5" s="1238" t="s">
        <v>676</v>
      </c>
      <c r="I5" s="1238" t="s">
        <v>803</v>
      </c>
      <c r="J5" s="1302" t="s">
        <v>424</v>
      </c>
    </row>
    <row r="6" spans="2:20" ht="13.8" thickBot="1">
      <c r="B6" s="1921"/>
      <c r="C6" s="1921"/>
      <c r="D6" s="1921"/>
      <c r="E6" s="1921"/>
      <c r="F6" s="1921"/>
      <c r="G6" s="1922"/>
      <c r="H6" s="1303"/>
      <c r="I6" s="1303" t="s">
        <v>423</v>
      </c>
      <c r="J6" s="1304" t="s">
        <v>425</v>
      </c>
    </row>
    <row r="7" spans="2:20" ht="21" customHeight="1" thickTop="1">
      <c r="B7" s="1170" t="s">
        <v>3433</v>
      </c>
      <c r="C7" s="1170"/>
      <c r="D7" s="1170"/>
      <c r="E7" s="1170"/>
      <c r="F7" s="1170"/>
      <c r="G7" s="1305" t="s">
        <v>3432</v>
      </c>
      <c r="H7" s="605"/>
      <c r="I7" s="1309">
        <f>H7</f>
        <v>0</v>
      </c>
      <c r="J7" s="1203">
        <f>+I7-H7</f>
        <v>0</v>
      </c>
    </row>
    <row r="8" spans="2:20" ht="10.5" customHeight="1">
      <c r="B8" s="1209" t="s">
        <v>3431</v>
      </c>
      <c r="C8" s="1114"/>
      <c r="D8" s="1114"/>
      <c r="E8" s="1114"/>
      <c r="F8" s="1114"/>
      <c r="G8" s="1306"/>
      <c r="H8" s="1308"/>
      <c r="I8" s="1308"/>
      <c r="J8" s="1118"/>
    </row>
    <row r="9" spans="2:20">
      <c r="B9" s="1128" t="s">
        <v>214</v>
      </c>
      <c r="C9" s="1128"/>
      <c r="D9" s="1128"/>
      <c r="E9" s="1128"/>
      <c r="F9" s="1128"/>
      <c r="G9" s="1307" t="s">
        <v>3430</v>
      </c>
      <c r="H9" s="653"/>
      <c r="I9" s="653"/>
      <c r="J9" s="858">
        <f t="shared" ref="J9:J15" si="0">+I9-H9</f>
        <v>0</v>
      </c>
    </row>
    <row r="10" spans="2:20" ht="21" customHeight="1">
      <c r="B10" s="648"/>
      <c r="C10" s="648"/>
      <c r="D10" s="648"/>
      <c r="E10" s="648"/>
      <c r="F10" s="648"/>
      <c r="G10" s="1166"/>
      <c r="H10" s="780"/>
      <c r="I10" s="780"/>
      <c r="J10" s="1310">
        <f t="shared" si="0"/>
        <v>0</v>
      </c>
      <c r="N10" s="322"/>
      <c r="O10" s="322"/>
      <c r="P10" s="322"/>
      <c r="Q10" s="322"/>
      <c r="R10" s="322"/>
      <c r="S10" s="322"/>
      <c r="T10" s="322"/>
    </row>
    <row r="11" spans="2:20" ht="21" customHeight="1">
      <c r="B11" s="648"/>
      <c r="C11" s="648"/>
      <c r="D11" s="648"/>
      <c r="E11" s="648"/>
      <c r="F11" s="648"/>
      <c r="G11" s="1166"/>
      <c r="H11" s="780"/>
      <c r="I11" s="780"/>
      <c r="J11" s="1124">
        <f t="shared" si="0"/>
        <v>0</v>
      </c>
      <c r="N11" s="322"/>
      <c r="O11" s="322"/>
      <c r="P11" s="322"/>
      <c r="Q11" s="322"/>
      <c r="R11" s="322"/>
      <c r="S11" s="322"/>
      <c r="T11" s="322"/>
    </row>
    <row r="12" spans="2:20" ht="21" customHeight="1">
      <c r="B12" s="648"/>
      <c r="C12" s="648"/>
      <c r="D12" s="648"/>
      <c r="E12" s="648"/>
      <c r="F12" s="648"/>
      <c r="G12" s="1166"/>
      <c r="H12" s="780"/>
      <c r="I12" s="780"/>
      <c r="J12" s="1124">
        <f t="shared" si="0"/>
        <v>0</v>
      </c>
      <c r="N12" s="377"/>
      <c r="O12" s="322"/>
      <c r="P12" s="322"/>
      <c r="Q12" s="322"/>
      <c r="R12" s="322"/>
      <c r="S12" s="322"/>
      <c r="T12" s="322"/>
    </row>
    <row r="13" spans="2:20" ht="21" customHeight="1">
      <c r="B13" s="648"/>
      <c r="C13" s="648"/>
      <c r="D13" s="648"/>
      <c r="E13" s="648"/>
      <c r="F13" s="648"/>
      <c r="G13" s="1166"/>
      <c r="H13" s="780"/>
      <c r="I13" s="780"/>
      <c r="J13" s="1124">
        <f t="shared" si="0"/>
        <v>0</v>
      </c>
      <c r="N13" s="322"/>
      <c r="O13" s="322"/>
      <c r="P13" s="322"/>
      <c r="Q13" s="322"/>
      <c r="R13" s="322"/>
      <c r="S13" s="322"/>
      <c r="T13" s="322"/>
    </row>
    <row r="14" spans="2:20" ht="21" customHeight="1">
      <c r="B14" s="648"/>
      <c r="C14" s="648"/>
      <c r="D14" s="648"/>
      <c r="E14" s="648"/>
      <c r="F14" s="648"/>
      <c r="G14" s="1166"/>
      <c r="H14" s="780"/>
      <c r="I14" s="780"/>
      <c r="J14" s="1124">
        <f t="shared" si="0"/>
        <v>0</v>
      </c>
      <c r="N14" s="322"/>
      <c r="O14" s="322"/>
      <c r="P14" s="322"/>
      <c r="Q14" s="322"/>
      <c r="R14" s="322"/>
      <c r="S14" s="322"/>
      <c r="T14" s="322"/>
    </row>
    <row r="15" spans="2:20" ht="21" customHeight="1">
      <c r="B15" s="690" t="s">
        <v>3429</v>
      </c>
      <c r="C15" s="690"/>
      <c r="D15" s="690"/>
      <c r="E15" s="690"/>
      <c r="F15" s="690"/>
      <c r="G15" s="1307" t="s">
        <v>3425</v>
      </c>
      <c r="H15" s="780"/>
      <c r="I15" s="780"/>
      <c r="J15" s="1124">
        <f t="shared" si="0"/>
        <v>0</v>
      </c>
      <c r="N15" s="322"/>
      <c r="O15" s="322"/>
      <c r="P15" s="322"/>
      <c r="Q15" s="322"/>
      <c r="R15" s="322"/>
      <c r="S15" s="322"/>
      <c r="T15" s="322"/>
    </row>
    <row r="16" spans="2:20" ht="21" customHeight="1">
      <c r="B16" s="690" t="s">
        <v>3428</v>
      </c>
      <c r="C16" s="690"/>
      <c r="D16" s="690"/>
      <c r="E16" s="690"/>
      <c r="F16" s="690"/>
      <c r="G16" s="1307"/>
      <c r="H16" s="780"/>
      <c r="I16" s="780"/>
      <c r="J16" s="1124"/>
      <c r="N16" s="322"/>
      <c r="O16" s="322"/>
      <c r="P16" s="322"/>
      <c r="Q16" s="322"/>
      <c r="R16" s="322"/>
      <c r="S16" s="322"/>
      <c r="T16" s="322"/>
    </row>
    <row r="17" spans="2:20" ht="21" customHeight="1">
      <c r="B17" s="690" t="s">
        <v>422</v>
      </c>
      <c r="C17" s="690"/>
      <c r="D17" s="690"/>
      <c r="E17" s="690"/>
      <c r="F17" s="690"/>
      <c r="G17" s="1307"/>
      <c r="H17" s="1174" t="s">
        <v>787</v>
      </c>
      <c r="I17" s="1174" t="s">
        <v>787</v>
      </c>
      <c r="J17" s="1300" t="s">
        <v>787</v>
      </c>
      <c r="N17" s="322"/>
      <c r="O17" s="322"/>
      <c r="P17" s="322"/>
      <c r="Q17" s="322"/>
      <c r="R17" s="322"/>
      <c r="S17" s="322"/>
      <c r="T17" s="322"/>
    </row>
    <row r="18" spans="2:20" ht="21" customHeight="1">
      <c r="B18" s="648"/>
      <c r="C18" s="648"/>
      <c r="D18" s="648"/>
      <c r="E18" s="648"/>
      <c r="F18" s="648"/>
      <c r="G18" s="648"/>
      <c r="H18" s="601"/>
      <c r="I18" s="601"/>
      <c r="J18" s="609"/>
      <c r="N18" s="322"/>
      <c r="O18" s="322"/>
      <c r="P18" s="322"/>
      <c r="Q18" s="322"/>
      <c r="R18" s="322"/>
      <c r="S18" s="322"/>
      <c r="T18" s="322"/>
    </row>
    <row r="19" spans="2:20" ht="21" customHeight="1" thickBot="1">
      <c r="B19" s="648"/>
      <c r="C19" s="648"/>
      <c r="D19" s="648"/>
      <c r="E19" s="648"/>
      <c r="F19" s="648"/>
      <c r="G19" s="648"/>
      <c r="H19" s="627"/>
      <c r="I19" s="627"/>
      <c r="J19" s="671"/>
      <c r="N19" s="322"/>
      <c r="O19" s="322"/>
      <c r="P19" s="322"/>
      <c r="Q19" s="322"/>
      <c r="R19" s="322"/>
      <c r="S19" s="322"/>
      <c r="T19" s="322"/>
    </row>
    <row r="20" spans="2:20" ht="21" customHeight="1" thickTop="1">
      <c r="B20" s="690"/>
      <c r="C20" s="690"/>
      <c r="D20" s="690" t="s">
        <v>421</v>
      </c>
      <c r="E20" s="690"/>
      <c r="F20" s="690"/>
      <c r="G20" s="1312"/>
      <c r="H20" s="1315">
        <f>SUM(H7:H19)</f>
        <v>0</v>
      </c>
      <c r="I20" s="1315">
        <f>SUM(I7:I19)</f>
        <v>0</v>
      </c>
      <c r="J20" s="858">
        <f>SUM(J7:J19)</f>
        <v>0</v>
      </c>
      <c r="N20" s="322"/>
      <c r="O20" s="322"/>
      <c r="P20" s="322"/>
      <c r="Q20" s="322"/>
      <c r="R20" s="322"/>
      <c r="S20" s="322"/>
      <c r="T20" s="322"/>
    </row>
    <row r="21" spans="2:20" ht="21" customHeight="1" thickBot="1">
      <c r="B21" s="690" t="s">
        <v>3427</v>
      </c>
      <c r="C21" s="1313"/>
      <c r="D21" s="1313"/>
      <c r="E21" s="690"/>
      <c r="F21" s="690"/>
      <c r="G21" s="1307" t="s">
        <v>3426</v>
      </c>
      <c r="H21" s="654"/>
      <c r="I21" s="654"/>
      <c r="J21" s="1118">
        <f>I21-H21</f>
        <v>0</v>
      </c>
      <c r="N21" s="322"/>
      <c r="O21" s="322"/>
      <c r="P21" s="322"/>
      <c r="Q21" s="322"/>
      <c r="R21" s="322"/>
      <c r="S21" s="322"/>
      <c r="T21" s="322"/>
    </row>
    <row r="22" spans="2:20" ht="21" customHeight="1" thickTop="1" thickBot="1">
      <c r="B22" s="1114"/>
      <c r="C22" s="1114"/>
      <c r="D22" s="1114"/>
      <c r="E22" s="1114"/>
      <c r="F22" s="1114"/>
      <c r="G22" s="1314" t="s">
        <v>3425</v>
      </c>
      <c r="H22" s="1316">
        <f>+H20+H21</f>
        <v>0</v>
      </c>
      <c r="I22" s="1316">
        <f>+I20+I21</f>
        <v>0</v>
      </c>
      <c r="J22" s="1311">
        <f>+J20+J21</f>
        <v>0</v>
      </c>
      <c r="L22" s="399" t="s">
        <v>3406</v>
      </c>
      <c r="N22" s="322"/>
      <c r="O22" s="322"/>
      <c r="P22" s="322"/>
      <c r="Q22" s="322"/>
      <c r="R22" s="322"/>
      <c r="S22" s="322"/>
      <c r="T22" s="322"/>
    </row>
    <row r="23" spans="2:20" ht="13.8" thickTop="1">
      <c r="B23" s="427" t="s">
        <v>3424</v>
      </c>
      <c r="N23" s="322"/>
      <c r="O23" s="322"/>
      <c r="P23" s="322"/>
      <c r="Q23" s="322"/>
      <c r="R23" s="322"/>
      <c r="S23" s="322"/>
      <c r="T23" s="322"/>
    </row>
    <row r="24" spans="2:20">
      <c r="B24" s="427" t="s">
        <v>3423</v>
      </c>
      <c r="N24" s="322"/>
      <c r="O24" s="322"/>
      <c r="P24" s="322"/>
      <c r="Q24" s="322"/>
      <c r="R24" s="322"/>
      <c r="S24" s="322"/>
      <c r="T24" s="322"/>
    </row>
    <row r="25" spans="2:20">
      <c r="N25" s="322"/>
      <c r="O25" s="322"/>
      <c r="P25" s="322"/>
      <c r="Q25" s="322"/>
      <c r="R25" s="322"/>
      <c r="S25" s="322"/>
      <c r="T25" s="322"/>
    </row>
    <row r="26" spans="2:20">
      <c r="N26" s="322"/>
      <c r="O26" s="322"/>
      <c r="P26" s="322"/>
      <c r="Q26" s="322"/>
      <c r="R26" s="322"/>
      <c r="S26" s="322"/>
      <c r="T26" s="322"/>
    </row>
    <row r="27" spans="2:20" ht="17.25" customHeight="1" thickBot="1">
      <c r="B27" s="1919" t="s">
        <v>426</v>
      </c>
      <c r="C27" s="1919"/>
      <c r="D27" s="1919"/>
      <c r="E27" s="1919"/>
      <c r="F27" s="1919"/>
      <c r="G27" s="1919"/>
      <c r="H27" s="1919"/>
      <c r="I27" s="1919"/>
      <c r="J27" s="1919"/>
    </row>
    <row r="28" spans="2:20" ht="21" customHeight="1" thickTop="1">
      <c r="B28" s="1317" t="s">
        <v>427</v>
      </c>
      <c r="C28" s="1318"/>
      <c r="D28" s="1318"/>
      <c r="E28" s="1318"/>
      <c r="F28" s="1318"/>
      <c r="G28" s="1318"/>
      <c r="H28" s="1318"/>
      <c r="I28" s="1319"/>
      <c r="J28" s="1320" t="s">
        <v>787</v>
      </c>
    </row>
    <row r="29" spans="2:20" ht="21" customHeight="1">
      <c r="B29" s="1321"/>
      <c r="C29" s="1322" t="s">
        <v>222</v>
      </c>
      <c r="D29" s="1322"/>
      <c r="E29" s="1322"/>
      <c r="F29" s="1322"/>
      <c r="G29" s="1322"/>
      <c r="H29" s="1322"/>
      <c r="I29" s="1323"/>
      <c r="J29" s="655"/>
    </row>
    <row r="30" spans="2:20" ht="21" customHeight="1">
      <c r="B30" s="1321"/>
      <c r="C30" s="1322" t="s">
        <v>428</v>
      </c>
      <c r="D30" s="1322"/>
      <c r="E30" s="1322"/>
      <c r="F30" s="1322"/>
      <c r="G30" s="1322"/>
      <c r="H30" s="1322"/>
      <c r="I30" s="1323"/>
      <c r="J30" s="655"/>
    </row>
    <row r="31" spans="2:20" ht="21" customHeight="1" thickBot="1">
      <c r="B31" s="1321"/>
      <c r="C31" s="1322" t="s">
        <v>429</v>
      </c>
      <c r="D31" s="1322"/>
      <c r="E31" s="1322"/>
      <c r="F31" s="1322"/>
      <c r="G31" s="1322"/>
      <c r="H31" s="1322"/>
      <c r="I31" s="1323"/>
      <c r="J31" s="657"/>
    </row>
    <row r="32" spans="2:20" ht="21" customHeight="1" thickTop="1">
      <c r="B32" s="1321" t="s">
        <v>430</v>
      </c>
      <c r="C32" s="1322"/>
      <c r="D32" s="1322"/>
      <c r="E32" s="1322"/>
      <c r="F32" s="1322"/>
      <c r="G32" s="1322"/>
      <c r="H32" s="1322"/>
      <c r="I32" s="1324"/>
      <c r="J32" s="1325">
        <f>SUM(J29:J31)</f>
        <v>0</v>
      </c>
    </row>
    <row r="33" spans="2:13" ht="21" customHeight="1" thickBot="1">
      <c r="B33" s="1321" t="s">
        <v>431</v>
      </c>
      <c r="C33" s="1322"/>
      <c r="D33" s="1322"/>
      <c r="E33" s="1322"/>
      <c r="F33" s="1322"/>
      <c r="G33" s="1322"/>
      <c r="H33" s="1322"/>
      <c r="I33" s="1324"/>
      <c r="J33" s="657"/>
    </row>
    <row r="34" spans="2:13" ht="21" customHeight="1" thickTop="1">
      <c r="B34" s="1321" t="s">
        <v>916</v>
      </c>
      <c r="C34" s="1322"/>
      <c r="D34" s="1322"/>
      <c r="E34" s="1322"/>
      <c r="F34" s="1322"/>
      <c r="G34" s="1322"/>
      <c r="H34" s="1322"/>
      <c r="I34" s="1324"/>
      <c r="J34" s="1325">
        <f>+J32+J33</f>
        <v>0</v>
      </c>
    </row>
    <row r="35" spans="2:13" ht="21" customHeight="1">
      <c r="B35" s="1321" t="s">
        <v>432</v>
      </c>
      <c r="C35" s="1322"/>
      <c r="D35" s="1322"/>
      <c r="E35" s="1322"/>
      <c r="F35" s="1322"/>
      <c r="G35" s="1322"/>
      <c r="H35" s="1322"/>
      <c r="I35" s="1324"/>
      <c r="J35" s="1326"/>
    </row>
    <row r="36" spans="2:13" ht="21" customHeight="1">
      <c r="B36" s="1328"/>
      <c r="C36" s="1328" t="s">
        <v>753</v>
      </c>
      <c r="D36" s="1328"/>
      <c r="E36" s="1328"/>
      <c r="F36" s="1328"/>
      <c r="G36" s="1328"/>
      <c r="H36" s="1328"/>
      <c r="I36" s="658"/>
      <c r="J36" s="1327"/>
    </row>
    <row r="37" spans="2:13" ht="21" customHeight="1">
      <c r="B37" s="1328"/>
      <c r="C37" s="1328" t="s">
        <v>920</v>
      </c>
      <c r="D37" s="1328"/>
      <c r="E37" s="1328"/>
      <c r="F37" s="1328"/>
      <c r="G37" s="1328"/>
      <c r="H37" s="1328"/>
      <c r="I37" s="658"/>
      <c r="J37" s="1327"/>
    </row>
    <row r="38" spans="2:13" ht="21" customHeight="1" thickBot="1">
      <c r="B38" s="1328" t="s">
        <v>433</v>
      </c>
      <c r="C38" s="1328"/>
      <c r="D38" s="1328"/>
      <c r="E38" s="1328"/>
      <c r="F38" s="1328"/>
      <c r="G38" s="1328"/>
      <c r="H38" s="1328"/>
      <c r="I38" s="659"/>
      <c r="J38" s="655"/>
      <c r="M38" s="399"/>
    </row>
    <row r="39" spans="2:13" ht="21" customHeight="1" thickTop="1" thickBot="1">
      <c r="B39" s="1328" t="s">
        <v>921</v>
      </c>
      <c r="C39" s="1328"/>
      <c r="D39" s="1328"/>
      <c r="E39" s="1328"/>
      <c r="F39" s="1328"/>
      <c r="G39" s="1328"/>
      <c r="H39" s="1328"/>
      <c r="I39" s="1329"/>
      <c r="J39" s="1331">
        <f>SUM(I36:I38)</f>
        <v>0</v>
      </c>
    </row>
    <row r="40" spans="2:13" ht="21" customHeight="1" thickTop="1" thickBot="1">
      <c r="B40" s="1328" t="s">
        <v>434</v>
      </c>
      <c r="C40" s="1328"/>
      <c r="D40" s="1328"/>
      <c r="E40" s="1328"/>
      <c r="F40" s="1328"/>
      <c r="G40" s="1328"/>
      <c r="H40" s="1328"/>
      <c r="I40" s="1330"/>
      <c r="J40" s="1332">
        <f>+J34-J39</f>
        <v>0</v>
      </c>
      <c r="K40" s="399"/>
    </row>
    <row r="41" spans="2:13" ht="13.8" thickTop="1"/>
    <row r="42" spans="2:13">
      <c r="B42" s="427" t="s">
        <v>3422</v>
      </c>
      <c r="C42" s="427"/>
      <c r="D42" s="427"/>
      <c r="E42" s="427"/>
      <c r="F42" s="427"/>
    </row>
    <row r="43" spans="2:13">
      <c r="B43" s="427"/>
      <c r="C43" s="427" t="s">
        <v>3421</v>
      </c>
      <c r="D43" s="427"/>
      <c r="E43" s="427"/>
      <c r="F43" s="427"/>
    </row>
    <row r="44" spans="2:13">
      <c r="B44" s="427"/>
      <c r="C44" s="427"/>
      <c r="D44" s="427" t="s">
        <v>3420</v>
      </c>
      <c r="E44" s="427"/>
      <c r="F44" s="427"/>
      <c r="M44" s="399"/>
    </row>
    <row r="45" spans="2:13">
      <c r="B45" s="427"/>
      <c r="C45" s="427" t="s">
        <v>43</v>
      </c>
      <c r="D45" s="427"/>
      <c r="E45" s="427"/>
      <c r="F45" s="427"/>
    </row>
    <row r="46" spans="2:13">
      <c r="B46" s="427"/>
      <c r="C46" s="427" t="s">
        <v>3419</v>
      </c>
      <c r="D46" s="427"/>
      <c r="E46" s="427"/>
      <c r="F46" s="427"/>
    </row>
    <row r="47" spans="2:13">
      <c r="B47" s="427"/>
      <c r="C47" s="427"/>
      <c r="D47" s="427" t="s">
        <v>3418</v>
      </c>
      <c r="E47" s="427"/>
      <c r="F47" s="427"/>
    </row>
    <row r="48" spans="2:13">
      <c r="B48" s="427"/>
      <c r="C48" s="427"/>
      <c r="D48" s="427"/>
      <c r="E48" s="427"/>
      <c r="F48" s="427"/>
    </row>
    <row r="55" spans="2:10" ht="13.8">
      <c r="B55" s="1765" t="s">
        <v>3417</v>
      </c>
      <c r="C55" s="1765"/>
      <c r="D55" s="1765"/>
      <c r="E55" s="1765"/>
      <c r="F55" s="1765"/>
      <c r="G55" s="1765"/>
      <c r="H55" s="1765"/>
      <c r="I55" s="1765"/>
      <c r="J55" s="1765"/>
    </row>
  </sheetData>
  <sheetProtection password="CAF9" sheet="1" objects="1" scenarios="1"/>
  <customSheetViews>
    <customSheetView guid="{AC653BD0-46E3-42CB-9C76-32121A57B65A}">
      <selection activeCell="B14" sqref="B14"/>
      <pageMargins left="0.25" right="0.25" top="0.5" bottom="0.5" header="0.25" footer="0.25"/>
      <pageSetup paperSize="5" orientation="portrait" r:id="rId1"/>
      <headerFooter alignWithMargins="0"/>
    </customSheetView>
    <customSheetView guid="{B165479B-DC25-403C-9595-F1A88A4AA9A2}">
      <selection activeCell="B14" sqref="B14"/>
      <pageMargins left="0.25" right="0.25" top="0.5" bottom="0.5" header="0.25" footer="0.25"/>
      <pageSetup paperSize="5" orientation="portrait" r:id="rId2"/>
      <headerFooter alignWithMargins="0"/>
    </customSheetView>
    <customSheetView guid="{A64E4C9E-A3DA-4AAA-8607-F524450B9436}">
      <selection activeCell="B14" sqref="B14"/>
      <pageMargins left="0.25" right="0.25" top="0.5" bottom="0.5" header="0.25" footer="0.25"/>
      <pageSetup paperSize="5" orientation="portrait" r:id="rId3"/>
      <headerFooter alignWithMargins="0"/>
    </customSheetView>
    <customSheetView guid="{AB4FBD91-4533-473A-9702-569FF6402073}">
      <selection activeCell="B14" sqref="B14"/>
      <pageMargins left="0.25" right="0.25" top="0.5" bottom="0.5" header="0.25" footer="0.25"/>
      <pageSetup paperSize="5" orientation="portrait" r:id="rId4"/>
      <headerFooter alignWithMargins="0"/>
    </customSheetView>
  </customSheetViews>
  <mergeCells count="5">
    <mergeCell ref="B2:J2"/>
    <mergeCell ref="B4:J4"/>
    <mergeCell ref="B5:G6"/>
    <mergeCell ref="B27:J27"/>
    <mergeCell ref="B55:J55"/>
  </mergeCells>
  <pageMargins left="0.25" right="0.25" top="0.5" bottom="0.5" header="0.25" footer="0.25"/>
  <pageSetup paperSize="5" orientation="portrait" r:id="rId5"/>
  <headerFooter alignWithMargins="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7">
    <tabColor theme="5" tint="0.59999389629810485"/>
  </sheetPr>
  <dimension ref="B1:T57"/>
  <sheetViews>
    <sheetView zoomScaleNormal="100" zoomScaleSheetLayoutView="80" workbookViewId="0"/>
  </sheetViews>
  <sheetFormatPr defaultColWidth="8.88671875" defaultRowHeight="13.2"/>
  <cols>
    <col min="1" max="1" width="4.6640625" style="398" customWidth="1"/>
    <col min="2" max="2" width="6.109375" style="398" customWidth="1"/>
    <col min="3" max="3" width="3.33203125" style="398" customWidth="1"/>
    <col min="4" max="4" width="2.6640625" style="398" customWidth="1"/>
    <col min="5" max="5" width="8.88671875" style="398"/>
    <col min="6" max="6" width="5.88671875" style="398" customWidth="1"/>
    <col min="7" max="7" width="8.88671875" style="398"/>
    <col min="8" max="8" width="16" style="398" customWidth="1"/>
    <col min="9" max="9" width="8.88671875" style="398"/>
    <col min="10" max="11" width="16.6640625" style="398" customWidth="1"/>
    <col min="12" max="12" width="8.88671875" style="398"/>
    <col min="13" max="13" width="11.33203125" style="398" customWidth="1"/>
    <col min="14" max="16384" width="8.88671875" style="398"/>
  </cols>
  <sheetData>
    <row r="1" spans="2:20">
      <c r="B1" s="1114"/>
      <c r="C1" s="1114"/>
      <c r="D1" s="1114"/>
      <c r="E1" s="1114"/>
      <c r="F1" s="1114"/>
      <c r="G1" s="1114"/>
      <c r="H1" s="1114"/>
      <c r="I1" s="1114"/>
      <c r="J1" s="1114"/>
      <c r="K1" s="1114"/>
    </row>
    <row r="2" spans="2:20">
      <c r="B2" s="1114"/>
      <c r="C2" s="1114"/>
      <c r="D2" s="1114"/>
      <c r="E2" s="1114"/>
      <c r="F2" s="1114"/>
      <c r="G2" s="1114"/>
      <c r="H2" s="1114"/>
      <c r="I2" s="1114"/>
      <c r="J2" s="1114"/>
      <c r="K2" s="1114"/>
    </row>
    <row r="3" spans="2:20" ht="22.8">
      <c r="B3" s="1759" t="str">
        <f>"STATEMENT  OF  "&amp;TEXT('KEY INPUTS'!D34,"0")&amp;"  OPERATION"</f>
        <v>STATEMENT  OF  2019  OPERATION</v>
      </c>
      <c r="C3" s="1759"/>
      <c r="D3" s="1759"/>
      <c r="E3" s="1759"/>
      <c r="F3" s="1759"/>
      <c r="G3" s="1759"/>
      <c r="H3" s="1759"/>
      <c r="I3" s="1759"/>
      <c r="J3" s="1759"/>
      <c r="K3" s="1759"/>
    </row>
    <row r="4" spans="2:20">
      <c r="B4" s="1114"/>
      <c r="C4" s="1114"/>
      <c r="D4" s="1114"/>
      <c r="E4" s="1114"/>
      <c r="F4" s="1114"/>
      <c r="G4" s="1114"/>
      <c r="H4" s="1114"/>
      <c r="I4" s="1114"/>
      <c r="J4" s="1114"/>
      <c r="K4" s="1114"/>
    </row>
    <row r="5" spans="2:20" ht="20.399999999999999">
      <c r="B5" s="1788" t="str">
        <f>UPPER('KEY INPUTS'!D54)&amp;" UTILITY"</f>
        <v xml:space="preserve"> UTILITY</v>
      </c>
      <c r="C5" s="1788"/>
      <c r="D5" s="1788"/>
      <c r="E5" s="1788"/>
      <c r="F5" s="1788"/>
      <c r="G5" s="1788"/>
      <c r="H5" s="1788"/>
      <c r="I5" s="1788"/>
      <c r="J5" s="1788"/>
      <c r="K5" s="1788"/>
    </row>
    <row r="6" spans="2:20">
      <c r="B6" s="1114"/>
      <c r="C6" s="1114"/>
      <c r="D6" s="1114"/>
      <c r="E6" s="1114"/>
      <c r="F6" s="1114"/>
      <c r="G6" s="1114"/>
      <c r="H6" s="1114"/>
      <c r="I6" s="1114"/>
      <c r="J6" s="1114"/>
      <c r="K6" s="1114"/>
    </row>
    <row r="7" spans="2:20">
      <c r="B7" s="1114"/>
      <c r="C7" s="1114"/>
      <c r="D7" s="1114"/>
      <c r="E7" s="1114"/>
      <c r="F7" s="1114"/>
      <c r="G7" s="1114"/>
      <c r="H7" s="1114"/>
      <c r="I7" s="1114"/>
      <c r="J7" s="1114"/>
      <c r="K7" s="1114"/>
    </row>
    <row r="8" spans="2:20">
      <c r="B8" s="1114" t="s">
        <v>408</v>
      </c>
      <c r="C8" s="1189" t="str">
        <f>"Section 1 of this sheet is required to be filled out ONLY IF the "&amp;TEXT('KEY INPUTS'!D34,"0")&amp;" "&amp;PROPER('KEY INPUTS'!D54)&amp;" Utility Budget contained"</f>
        <v>Section 1 of this sheet is required to be filled out ONLY IF the 2019  Utility Budget contained</v>
      </c>
      <c r="D8" s="1114"/>
      <c r="E8" s="1114"/>
      <c r="F8" s="1114"/>
      <c r="G8" s="1114"/>
      <c r="H8" s="1114"/>
      <c r="I8" s="1114"/>
      <c r="J8" s="1114"/>
      <c r="K8" s="1114"/>
    </row>
    <row r="9" spans="2:20">
      <c r="B9" s="1114"/>
      <c r="C9" s="1114" t="s">
        <v>435</v>
      </c>
      <c r="D9" s="1114"/>
      <c r="E9" s="1114"/>
      <c r="F9" s="1114"/>
      <c r="G9" s="1114"/>
      <c r="H9" s="1114"/>
      <c r="I9" s="1114"/>
      <c r="J9" s="1114"/>
      <c r="K9" s="1114"/>
    </row>
    <row r="10" spans="2:20">
      <c r="B10" s="1114"/>
      <c r="C10" s="1114" t="s">
        <v>436</v>
      </c>
      <c r="D10" s="1114"/>
      <c r="E10" s="1114"/>
      <c r="F10" s="1114"/>
      <c r="G10" s="1114"/>
      <c r="H10" s="1114"/>
      <c r="I10" s="1114"/>
      <c r="J10" s="1114"/>
      <c r="K10" s="1114"/>
    </row>
    <row r="11" spans="2:20">
      <c r="B11" s="1114"/>
      <c r="C11" s="1167" t="s">
        <v>3437</v>
      </c>
      <c r="D11" s="1114"/>
      <c r="E11" s="1114"/>
      <c r="F11" s="1114"/>
      <c r="G11" s="1114"/>
      <c r="H11" s="1114"/>
      <c r="I11" s="1114"/>
      <c r="J11" s="1114"/>
      <c r="K11" s="1114"/>
    </row>
    <row r="12" spans="2:20">
      <c r="B12" s="1114"/>
      <c r="C12" s="1114"/>
      <c r="D12" s="1114"/>
      <c r="E12" s="1114"/>
      <c r="F12" s="1114"/>
      <c r="G12" s="1114"/>
      <c r="H12" s="1114"/>
      <c r="I12" s="1114"/>
      <c r="J12" s="1114"/>
      <c r="K12" s="1114"/>
    </row>
    <row r="13" spans="2:20" ht="17.399999999999999">
      <c r="B13" s="1168" t="s">
        <v>437</v>
      </c>
      <c r="C13" s="1114"/>
      <c r="D13" s="1114"/>
      <c r="E13" s="1114"/>
      <c r="F13" s="1114"/>
      <c r="G13" s="1114"/>
      <c r="H13" s="1114"/>
      <c r="I13" s="1114"/>
      <c r="J13" s="1114"/>
      <c r="K13" s="1114"/>
    </row>
    <row r="14" spans="2:20" ht="13.8" thickBot="1">
      <c r="B14" s="1169"/>
      <c r="C14" s="1169"/>
      <c r="D14" s="1169"/>
      <c r="E14" s="1169"/>
      <c r="F14" s="1169"/>
      <c r="G14" s="1169"/>
      <c r="H14" s="1169"/>
      <c r="I14" s="1169"/>
      <c r="J14" s="1169"/>
      <c r="K14" s="1169"/>
    </row>
    <row r="15" spans="2:20" ht="21" customHeight="1" thickTop="1">
      <c r="B15" s="1170" t="s">
        <v>438</v>
      </c>
      <c r="C15" s="1170"/>
      <c r="D15" s="1170"/>
      <c r="E15" s="1170"/>
      <c r="F15" s="1170"/>
      <c r="G15" s="1170"/>
      <c r="H15" s="1170"/>
      <c r="I15" s="1170"/>
      <c r="J15" s="1171" t="s">
        <v>787</v>
      </c>
      <c r="K15" s="841"/>
      <c r="N15" s="322"/>
      <c r="O15" s="322"/>
      <c r="P15" s="322"/>
      <c r="Q15" s="322"/>
      <c r="R15" s="322"/>
      <c r="S15" s="322"/>
      <c r="T15" s="322"/>
    </row>
    <row r="16" spans="2:20" ht="21" customHeight="1">
      <c r="B16" s="690"/>
      <c r="C16" s="690" t="s">
        <v>439</v>
      </c>
      <c r="D16" s="690"/>
      <c r="E16" s="690"/>
      <c r="F16" s="690"/>
      <c r="G16" s="690"/>
      <c r="H16" s="690"/>
      <c r="I16" s="690"/>
      <c r="J16" s="842">
        <f>+'44-Utility3'!I20</f>
        <v>0</v>
      </c>
      <c r="K16" s="841"/>
      <c r="N16" s="322"/>
      <c r="O16" s="322"/>
      <c r="P16" s="322"/>
      <c r="Q16" s="322"/>
      <c r="R16" s="322"/>
      <c r="S16" s="322"/>
      <c r="T16" s="322"/>
    </row>
    <row r="17" spans="2:20" ht="21" customHeight="1">
      <c r="B17" s="690"/>
      <c r="C17" s="690" t="s">
        <v>440</v>
      </c>
      <c r="D17" s="690"/>
      <c r="E17" s="690"/>
      <c r="F17" s="690"/>
      <c r="G17" s="690"/>
      <c r="H17" s="690"/>
      <c r="I17" s="690"/>
      <c r="J17" s="575"/>
      <c r="K17" s="841"/>
      <c r="N17" s="377"/>
      <c r="O17" s="322"/>
      <c r="P17" s="322"/>
      <c r="Q17" s="322"/>
      <c r="R17" s="322"/>
      <c r="S17" s="322"/>
      <c r="T17" s="322"/>
    </row>
    <row r="18" spans="2:20" ht="21" customHeight="1">
      <c r="B18" s="690"/>
      <c r="C18" s="914" t="str">
        <f>TEXT('KEY INPUTS'!D35,"0")&amp;" Appropriation Reserves Canceled in "&amp;TEXT('KEY INPUTS'!D34,0)</f>
        <v>2018 Appropriation Reserves Canceled in 2019</v>
      </c>
      <c r="D18" s="1172"/>
      <c r="E18" s="1172"/>
      <c r="F18" s="1172"/>
      <c r="G18" s="1172"/>
      <c r="H18" s="690"/>
      <c r="I18" s="690"/>
      <c r="J18" s="1029">
        <f>J48</f>
        <v>0</v>
      </c>
      <c r="K18" s="841"/>
      <c r="N18" s="322"/>
      <c r="O18" s="322"/>
      <c r="P18" s="322"/>
      <c r="Q18" s="322"/>
      <c r="R18" s="322"/>
      <c r="S18" s="322"/>
      <c r="T18" s="322"/>
    </row>
    <row r="19" spans="2:20" ht="21" customHeight="1">
      <c r="B19" s="690"/>
      <c r="C19" s="648"/>
      <c r="D19" s="648"/>
      <c r="E19" s="648"/>
      <c r="F19" s="648"/>
      <c r="G19" s="648"/>
      <c r="H19" s="648"/>
      <c r="I19" s="648"/>
      <c r="J19" s="374"/>
      <c r="K19" s="841"/>
      <c r="N19" s="322"/>
      <c r="O19" s="322"/>
      <c r="P19" s="322"/>
      <c r="Q19" s="322"/>
      <c r="R19" s="322"/>
      <c r="S19" s="322"/>
      <c r="T19" s="322"/>
    </row>
    <row r="20" spans="2:20" ht="21" customHeight="1">
      <c r="B20" s="690"/>
      <c r="C20" s="648"/>
      <c r="D20" s="648"/>
      <c r="E20" s="648"/>
      <c r="F20" s="648"/>
      <c r="G20" s="648"/>
      <c r="H20" s="648"/>
      <c r="I20" s="648"/>
      <c r="J20" s="374"/>
      <c r="K20" s="841"/>
      <c r="N20" s="322"/>
      <c r="O20" s="322"/>
      <c r="P20" s="322"/>
      <c r="Q20" s="322"/>
      <c r="R20" s="322"/>
      <c r="S20" s="322"/>
      <c r="T20" s="322"/>
    </row>
    <row r="21" spans="2:20" ht="21" customHeight="1">
      <c r="B21" s="690"/>
      <c r="C21" s="690" t="s">
        <v>441</v>
      </c>
      <c r="D21" s="690"/>
      <c r="E21" s="690"/>
      <c r="F21" s="690"/>
      <c r="G21" s="690"/>
      <c r="H21" s="690"/>
      <c r="I21" s="690"/>
      <c r="J21" s="575"/>
      <c r="K21" s="851">
        <f>SUM(J16:J20)</f>
        <v>0</v>
      </c>
      <c r="N21" s="322"/>
      <c r="O21" s="322"/>
      <c r="P21" s="322"/>
      <c r="Q21" s="322"/>
      <c r="R21" s="322"/>
      <c r="S21" s="322"/>
      <c r="T21" s="322"/>
    </row>
    <row r="22" spans="2:20" ht="21" customHeight="1">
      <c r="B22" s="690" t="s">
        <v>442</v>
      </c>
      <c r="C22" s="690"/>
      <c r="D22" s="690"/>
      <c r="E22" s="690"/>
      <c r="F22" s="690"/>
      <c r="G22" s="690"/>
      <c r="H22" s="690"/>
      <c r="I22" s="690"/>
      <c r="J22" s="1174" t="s">
        <v>787</v>
      </c>
      <c r="K22" s="841"/>
      <c r="N22" s="322"/>
      <c r="O22" s="322"/>
      <c r="P22" s="322"/>
      <c r="Q22" s="322"/>
      <c r="R22" s="322"/>
      <c r="S22" s="322"/>
      <c r="T22" s="322"/>
    </row>
    <row r="23" spans="2:20" ht="21" customHeight="1">
      <c r="B23" s="690"/>
      <c r="C23" s="690" t="s">
        <v>443</v>
      </c>
      <c r="D23" s="690"/>
      <c r="E23" s="690"/>
      <c r="F23" s="690"/>
      <c r="G23" s="690"/>
      <c r="H23" s="690"/>
      <c r="I23" s="690"/>
      <c r="J23" s="1174" t="s">
        <v>787</v>
      </c>
      <c r="K23" s="841"/>
      <c r="N23" s="322"/>
      <c r="O23" s="322"/>
      <c r="P23" s="322"/>
      <c r="Q23" s="322"/>
      <c r="R23" s="322"/>
      <c r="S23" s="322"/>
      <c r="T23" s="322"/>
    </row>
    <row r="24" spans="2:20" ht="21" customHeight="1">
      <c r="B24" s="690"/>
      <c r="C24" s="690"/>
      <c r="D24" s="690" t="s">
        <v>753</v>
      </c>
      <c r="E24" s="690"/>
      <c r="F24" s="690"/>
      <c r="G24" s="690"/>
      <c r="H24" s="690"/>
      <c r="I24" s="690"/>
      <c r="J24" s="842">
        <f>+'44-Utility3'!I36</f>
        <v>0</v>
      </c>
      <c r="K24" s="841"/>
      <c r="N24" s="322"/>
      <c r="O24" s="322"/>
      <c r="P24" s="322"/>
      <c r="Q24" s="322"/>
      <c r="R24" s="322"/>
      <c r="S24" s="322"/>
      <c r="T24" s="322"/>
    </row>
    <row r="25" spans="2:20" ht="21" customHeight="1">
      <c r="B25" s="690"/>
      <c r="C25" s="690"/>
      <c r="D25" s="690" t="s">
        <v>920</v>
      </c>
      <c r="E25" s="690"/>
      <c r="F25" s="690"/>
      <c r="G25" s="690"/>
      <c r="H25" s="690"/>
      <c r="I25" s="690"/>
      <c r="J25" s="842">
        <f>+'44-Utility3'!I37</f>
        <v>0</v>
      </c>
      <c r="K25" s="841"/>
      <c r="N25" s="322"/>
      <c r="O25" s="322"/>
      <c r="P25" s="322"/>
      <c r="Q25" s="322"/>
      <c r="R25" s="322"/>
      <c r="S25" s="322"/>
      <c r="T25" s="322"/>
    </row>
    <row r="26" spans="2:20" ht="21" customHeight="1">
      <c r="B26" s="690"/>
      <c r="C26" s="690" t="s">
        <v>444</v>
      </c>
      <c r="D26" s="690"/>
      <c r="E26" s="690"/>
      <c r="F26" s="690"/>
      <c r="G26" s="690"/>
      <c r="H26" s="690"/>
      <c r="I26" s="690"/>
      <c r="J26" s="575"/>
      <c r="K26" s="841"/>
      <c r="N26" s="322"/>
      <c r="O26" s="322"/>
      <c r="P26" s="322"/>
      <c r="Q26" s="322"/>
      <c r="R26" s="322"/>
      <c r="S26" s="322"/>
      <c r="T26" s="322"/>
    </row>
    <row r="27" spans="2:20" ht="21" customHeight="1">
      <c r="B27" s="690"/>
      <c r="C27" s="690" t="s">
        <v>445</v>
      </c>
      <c r="D27" s="690"/>
      <c r="E27" s="690"/>
      <c r="F27" s="690"/>
      <c r="G27" s="690"/>
      <c r="H27" s="690"/>
      <c r="I27" s="690"/>
      <c r="J27" s="575"/>
      <c r="K27" s="841"/>
      <c r="N27" s="322"/>
      <c r="O27" s="322"/>
      <c r="P27" s="322"/>
      <c r="Q27" s="322"/>
      <c r="R27" s="322"/>
      <c r="S27" s="322"/>
      <c r="T27" s="322"/>
    </row>
    <row r="28" spans="2:20" ht="21" customHeight="1" thickBot="1">
      <c r="B28" s="690"/>
      <c r="C28" s="648"/>
      <c r="D28" s="648"/>
      <c r="E28" s="648"/>
      <c r="F28" s="648"/>
      <c r="G28" s="648"/>
      <c r="H28" s="648"/>
      <c r="I28" s="648"/>
      <c r="J28" s="1022"/>
      <c r="K28" s="841"/>
      <c r="N28" s="322"/>
      <c r="O28" s="322"/>
      <c r="P28" s="322"/>
      <c r="Q28" s="322"/>
      <c r="R28" s="322"/>
      <c r="S28" s="322"/>
      <c r="T28" s="322"/>
    </row>
    <row r="29" spans="2:20" ht="21" customHeight="1">
      <c r="B29" s="690"/>
      <c r="C29" s="690"/>
      <c r="D29" s="690"/>
      <c r="E29" s="690"/>
      <c r="F29" s="690" t="s">
        <v>921</v>
      </c>
      <c r="G29" s="690"/>
      <c r="H29" s="690"/>
      <c r="I29" s="690"/>
      <c r="J29" s="848">
        <f>SUM(J24:J28)</f>
        <v>0</v>
      </c>
      <c r="K29" s="841"/>
      <c r="N29" s="322"/>
      <c r="O29" s="322"/>
      <c r="P29" s="322"/>
      <c r="Q29" s="322"/>
      <c r="R29" s="322"/>
      <c r="S29" s="322"/>
      <c r="T29" s="322"/>
    </row>
    <row r="30" spans="2:20" ht="11.25" customHeight="1">
      <c r="B30" s="1114"/>
      <c r="C30" s="1114"/>
      <c r="D30" s="1114"/>
      <c r="E30" s="1114"/>
      <c r="F30" s="1114" t="s">
        <v>949</v>
      </c>
      <c r="G30" s="1114" t="s">
        <v>950</v>
      </c>
      <c r="H30" s="1114"/>
      <c r="I30" s="1114"/>
      <c r="J30" s="1177"/>
      <c r="K30" s="841"/>
      <c r="N30" s="322"/>
      <c r="O30" s="322"/>
      <c r="P30" s="322"/>
      <c r="Q30" s="322"/>
      <c r="R30" s="322"/>
      <c r="S30" s="322"/>
      <c r="T30" s="322"/>
    </row>
    <row r="31" spans="2:20" ht="13.5" customHeight="1">
      <c r="B31" s="1128"/>
      <c r="C31" s="1128"/>
      <c r="D31" s="1128"/>
      <c r="E31" s="1128"/>
      <c r="F31" s="1128"/>
      <c r="G31" s="1128" t="s">
        <v>951</v>
      </c>
      <c r="H31" s="1128"/>
      <c r="I31" s="1178"/>
      <c r="J31" s="1489"/>
      <c r="K31" s="1175"/>
      <c r="N31" s="322"/>
      <c r="O31" s="322"/>
      <c r="P31" s="322"/>
      <c r="Q31" s="322"/>
      <c r="R31" s="322"/>
      <c r="S31" s="322"/>
      <c r="T31" s="322"/>
    </row>
    <row r="32" spans="2:20" ht="21" customHeight="1" thickBot="1">
      <c r="B32" s="1180"/>
      <c r="C32" s="1180"/>
      <c r="D32" s="1180" t="s">
        <v>952</v>
      </c>
      <c r="E32" s="1180"/>
      <c r="F32" s="1180"/>
      <c r="G32" s="1180"/>
      <c r="H32" s="1180"/>
      <c r="I32" s="1180"/>
      <c r="J32" s="1181"/>
      <c r="K32" s="1176">
        <f>+J29-J31</f>
        <v>0</v>
      </c>
    </row>
    <row r="33" spans="2:15" ht="21" customHeight="1" thickTop="1" thickBot="1">
      <c r="B33" s="1182" t="s">
        <v>953</v>
      </c>
      <c r="C33" s="1182"/>
      <c r="D33" s="1182"/>
      <c r="E33" s="1182"/>
      <c r="F33" s="1182"/>
      <c r="G33" s="1182"/>
      <c r="H33" s="1182"/>
      <c r="I33" s="1182"/>
      <c r="J33" s="1183"/>
      <c r="K33" s="1184">
        <f>IF(M33&gt;0,M33,0)</f>
        <v>0</v>
      </c>
      <c r="M33" s="399">
        <f>+K21-K32</f>
        <v>0</v>
      </c>
      <c r="N33" s="710" t="s">
        <v>3490</v>
      </c>
    </row>
    <row r="34" spans="2:15" ht="21" customHeight="1">
      <c r="B34" s="690" t="s">
        <v>954</v>
      </c>
      <c r="C34" s="690"/>
      <c r="D34" s="690"/>
      <c r="E34" s="690"/>
      <c r="F34" s="690"/>
      <c r="G34" s="690"/>
      <c r="H34" s="690"/>
      <c r="I34" s="690"/>
      <c r="J34" s="575"/>
      <c r="K34" s="841"/>
    </row>
    <row r="35" spans="2:15" ht="11.25" customHeight="1">
      <c r="B35" s="1800" t="s">
        <v>955</v>
      </c>
      <c r="C35" s="1800"/>
      <c r="D35" s="1800"/>
      <c r="E35" s="1189" t="str">
        <f>"Balance of Results of "&amp;TEXT('KEY INPUTS'!D34,"0")&amp;" Operation"</f>
        <v>Balance of Results of 2019 Operation</v>
      </c>
      <c r="F35" s="1114"/>
      <c r="G35" s="1114"/>
      <c r="H35" s="1114"/>
      <c r="I35" s="1114"/>
      <c r="J35" s="950"/>
      <c r="K35" s="841"/>
    </row>
    <row r="36" spans="2:15" ht="12.75" customHeight="1" thickBot="1">
      <c r="B36" s="1801"/>
      <c r="C36" s="1801"/>
      <c r="D36" s="1801"/>
      <c r="E36" s="1128" t="s">
        <v>3782</v>
      </c>
      <c r="F36" s="1128"/>
      <c r="G36" s="1128"/>
      <c r="H36" s="1128"/>
      <c r="I36" s="1128"/>
      <c r="J36" s="1179">
        <f>+K33-J34</f>
        <v>0</v>
      </c>
      <c r="K36" s="841"/>
    </row>
    <row r="37" spans="2:15" ht="21" customHeight="1" thickBot="1">
      <c r="B37" s="1190"/>
      <c r="C37" s="1190"/>
      <c r="D37" s="1190"/>
      <c r="E37" s="1190"/>
      <c r="F37" s="1190"/>
      <c r="G37" s="1190"/>
      <c r="H37" s="1190"/>
      <c r="I37" s="1190"/>
      <c r="J37" s="1193"/>
      <c r="K37" s="1185"/>
    </row>
    <row r="38" spans="2:15" ht="21" customHeight="1" thickBot="1">
      <c r="B38" s="1191" t="s">
        <v>956</v>
      </c>
      <c r="C38" s="1191"/>
      <c r="D38" s="1191"/>
      <c r="E38" s="1191"/>
      <c r="F38" s="1191"/>
      <c r="G38" s="1191"/>
      <c r="H38" s="1191"/>
      <c r="I38" s="1191"/>
      <c r="J38" s="1194"/>
      <c r="K38" s="1186">
        <f>IF(+M33&gt;0,0,+M33*-1)</f>
        <v>0</v>
      </c>
    </row>
    <row r="39" spans="2:15" ht="21" customHeight="1">
      <c r="B39" s="690" t="s">
        <v>957</v>
      </c>
      <c r="C39" s="690"/>
      <c r="D39" s="690"/>
      <c r="E39" s="690"/>
      <c r="F39" s="690"/>
      <c r="G39" s="690"/>
      <c r="H39" s="690"/>
      <c r="I39" s="690"/>
      <c r="J39" s="1194">
        <f>+'44-Utility3'!I21</f>
        <v>0</v>
      </c>
      <c r="K39" s="841"/>
    </row>
    <row r="40" spans="2:15">
      <c r="B40" s="1802" t="s">
        <v>955</v>
      </c>
      <c r="C40" s="1802"/>
      <c r="D40" s="1802"/>
      <c r="E40" s="1189" t="str">
        <f>"Balance of Results of "&amp;TEXT('KEY INPUTS'!D34,"0")&amp;" Operation"</f>
        <v>Balance of Results of 2019 Operation</v>
      </c>
      <c r="F40" s="1192"/>
      <c r="G40" s="1192"/>
      <c r="H40" s="1192"/>
      <c r="I40" s="1192"/>
      <c r="J40" s="1177"/>
      <c r="K40" s="1187"/>
    </row>
    <row r="41" spans="2:15" ht="13.8" thickBot="1">
      <c r="B41" s="1803"/>
      <c r="C41" s="1803"/>
      <c r="D41" s="1803"/>
      <c r="E41" s="1169" t="s">
        <v>3436</v>
      </c>
      <c r="F41" s="1169"/>
      <c r="G41" s="1169"/>
      <c r="H41" s="1169"/>
      <c r="I41" s="1169"/>
      <c r="J41" s="1195">
        <f>+K38-J39</f>
        <v>0</v>
      </c>
      <c r="K41" s="1188"/>
      <c r="L41" s="739"/>
      <c r="O41" s="399"/>
    </row>
    <row r="42" spans="2:15" ht="13.8" thickTop="1">
      <c r="B42" s="1114"/>
      <c r="C42" s="1114"/>
      <c r="D42" s="1114"/>
      <c r="E42" s="1114"/>
      <c r="F42" s="1114"/>
      <c r="G42" s="1114"/>
      <c r="H42" s="1114"/>
      <c r="I42" s="1114"/>
      <c r="J42" s="841"/>
      <c r="K42" s="841"/>
    </row>
    <row r="43" spans="2:15" ht="17.399999999999999">
      <c r="B43" s="1168" t="s">
        <v>958</v>
      </c>
      <c r="C43" s="1114"/>
      <c r="D43" s="1114"/>
      <c r="E43" s="1114"/>
      <c r="F43" s="1114"/>
      <c r="G43" s="1114"/>
      <c r="H43" s="1114"/>
      <c r="I43" s="1114"/>
      <c r="J43" s="841"/>
      <c r="K43" s="841"/>
    </row>
    <row r="44" spans="2:15">
      <c r="B44" s="1189" t="str">
        <f>"The following Item of '"&amp;TEXT('KEY INPUTS'!D35,"0")&amp;" Appropriation Reserves Canceled in "&amp;TEXT('KEY INPUTS'!D34,"0")&amp;"' ""is Due to the Current Fund TO THE"</f>
        <v>The following Item of '2018 Appropriation Reserves Canceled in 2019' "is Due to the Current Fund TO THE</v>
      </c>
      <c r="C44" s="1114"/>
      <c r="D44" s="1114"/>
      <c r="E44" s="1114"/>
      <c r="F44" s="1114"/>
      <c r="G44" s="1114"/>
      <c r="H44" s="1114"/>
      <c r="I44" s="1114"/>
      <c r="J44" s="841"/>
      <c r="K44" s="841"/>
    </row>
    <row r="45" spans="2:15">
      <c r="B45" s="1189" t="str">
        <f>"EXTENT OF the amount received and Due from the General Budget of "&amp;TEXT('KEY INPUTS'!D34,"0")&amp;" for an Anticipated Deficit in the"</f>
        <v>EXTENT OF the amount received and Due from the General Budget of 2019 for an Anticipated Deficit in the</v>
      </c>
      <c r="C45" s="1114"/>
      <c r="D45" s="1114"/>
      <c r="E45" s="1114"/>
      <c r="F45" s="1114"/>
      <c r="G45" s="1114"/>
      <c r="H45" s="1114"/>
      <c r="I45" s="1114"/>
      <c r="J45" s="841"/>
      <c r="K45" s="841"/>
    </row>
    <row r="46" spans="2:15">
      <c r="B46" s="1189" t="str">
        <f>PROPER('KEY INPUTS'!D54)&amp;" Utility for "&amp;TEXT('KEY INPUTS'!D34,"0")&amp;""</f>
        <v xml:space="preserve"> Utility for 2019</v>
      </c>
      <c r="C46" s="1114"/>
      <c r="D46" s="1114"/>
      <c r="E46" s="1114"/>
      <c r="F46" s="1114"/>
      <c r="G46" s="1114"/>
      <c r="H46" s="1114"/>
      <c r="I46" s="1114"/>
      <c r="J46" s="841"/>
      <c r="K46" s="841"/>
      <c r="O46" s="322"/>
    </row>
    <row r="47" spans="2:15">
      <c r="B47" s="1114"/>
      <c r="C47" s="1114"/>
      <c r="D47" s="1114"/>
      <c r="E47" s="1114"/>
      <c r="F47" s="1114"/>
      <c r="G47" s="1114"/>
      <c r="H47" s="1114"/>
      <c r="I47" s="1114"/>
      <c r="J47" s="841"/>
      <c r="K47" s="841"/>
      <c r="O47" s="322"/>
    </row>
    <row r="48" spans="2:15" ht="21" customHeight="1">
      <c r="B48" s="914" t="str">
        <f>TEXT('KEY INPUTS'!D35,"0")&amp;" Appropriation Reserves Canceled in "&amp;TEXT('KEY INPUTS'!D34,0)</f>
        <v>2018 Appropriation Reserves Canceled in 2019</v>
      </c>
      <c r="C48" s="690"/>
      <c r="D48" s="690"/>
      <c r="E48" s="690"/>
      <c r="F48" s="690"/>
      <c r="G48" s="690"/>
      <c r="H48" s="690"/>
      <c r="I48" s="690"/>
      <c r="J48" s="374"/>
      <c r="K48" s="841"/>
      <c r="O48" s="322"/>
    </row>
    <row r="49" spans="2:15" ht="24" customHeight="1">
      <c r="B49" s="690"/>
      <c r="C49" s="1196" t="s">
        <v>949</v>
      </c>
      <c r="D49" s="690"/>
      <c r="E49" s="1798" t="str">
        <f>"Anticipated Deficit in "&amp;TEXT('KEY INPUTS'!D34,"0")&amp;" Budget - Amount Received and Due from Current Fund - If none, enter 'None '"""</f>
        <v>Anticipated Deficit in 2019 Budget - Amount Received and Due from Current Fund - If none, enter 'None '"</v>
      </c>
      <c r="F49" s="1798"/>
      <c r="G49" s="1798"/>
      <c r="H49" s="1798"/>
      <c r="I49" s="1799"/>
      <c r="J49" s="575"/>
      <c r="K49" s="841"/>
      <c r="O49" s="322"/>
    </row>
    <row r="50" spans="2:15" ht="21" customHeight="1">
      <c r="B50" s="690" t="s">
        <v>959</v>
      </c>
      <c r="C50" s="690"/>
      <c r="D50" s="690"/>
      <c r="E50" s="690"/>
      <c r="F50" s="690"/>
      <c r="G50" s="690"/>
      <c r="H50" s="690"/>
      <c r="I50" s="690"/>
      <c r="J50" s="663"/>
      <c r="K50" s="851">
        <f>+J48-J49</f>
        <v>0</v>
      </c>
    </row>
    <row r="52" spans="2:15">
      <c r="B52" s="463" t="s">
        <v>3435</v>
      </c>
    </row>
    <row r="53" spans="2:15">
      <c r="B53" s="463"/>
    </row>
    <row r="54" spans="2:15">
      <c r="B54" s="463"/>
    </row>
    <row r="55" spans="2:15">
      <c r="B55" s="463"/>
    </row>
    <row r="56" spans="2:15">
      <c r="B56" s="463"/>
    </row>
    <row r="57" spans="2:15" ht="13.8">
      <c r="B57" s="1765" t="s">
        <v>3434</v>
      </c>
      <c r="C57" s="1765"/>
      <c r="D57" s="1765"/>
      <c r="E57" s="1765"/>
      <c r="F57" s="1765"/>
      <c r="G57" s="1765"/>
      <c r="H57" s="1765"/>
      <c r="I57" s="1765"/>
      <c r="J57" s="1765"/>
      <c r="K57" s="1765"/>
    </row>
  </sheetData>
  <sheetProtection password="CAF9" sheet="1" objects="1" scenarios="1"/>
  <customSheetViews>
    <customSheetView guid="{AC653BD0-46E3-42CB-9C76-32121A57B65A}">
      <pageMargins left="0.25" right="0.25" top="0.5" bottom="0.5" header="0.25" footer="0.25"/>
      <pageSetup paperSize="5" orientation="portrait" r:id="rId1"/>
      <headerFooter alignWithMargins="0"/>
    </customSheetView>
    <customSheetView guid="{B165479B-DC25-403C-9595-F1A88A4AA9A2}">
      <pageMargins left="0.25" right="0.25" top="0.5" bottom="0.5" header="0.25" footer="0.25"/>
      <pageSetup paperSize="5" orientation="portrait" r:id="rId2"/>
      <headerFooter alignWithMargins="0"/>
    </customSheetView>
    <customSheetView guid="{A64E4C9E-A3DA-4AAA-8607-F524450B9436}">
      <pageMargins left="0.25" right="0.25" top="0.5" bottom="0.5" header="0.25" footer="0.25"/>
      <pageSetup paperSize="5" orientation="portrait" r:id="rId3"/>
      <headerFooter alignWithMargins="0"/>
    </customSheetView>
    <customSheetView guid="{AB4FBD91-4533-473A-9702-569FF6402073}">
      <pageMargins left="0.25" right="0.25" top="0.5" bottom="0.5" header="0.25" footer="0.25"/>
      <pageSetup paperSize="5" orientation="portrait" r:id="rId4"/>
      <headerFooter alignWithMargins="0"/>
    </customSheetView>
  </customSheetViews>
  <mergeCells count="6">
    <mergeCell ref="B57:K57"/>
    <mergeCell ref="B3:K3"/>
    <mergeCell ref="B5:K5"/>
    <mergeCell ref="B35:D36"/>
    <mergeCell ref="B40:D41"/>
    <mergeCell ref="E49:I49"/>
  </mergeCells>
  <pageMargins left="0.25" right="0.25" top="0.5" bottom="0.5" header="0.25" footer="0.25"/>
  <pageSetup paperSize="5" orientation="portrait" r:id="rId5"/>
  <headerFooter alignWithMargins="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8">
    <tabColor theme="5" tint="0.59999389629810485"/>
  </sheetPr>
  <dimension ref="B1:Z52"/>
  <sheetViews>
    <sheetView zoomScaleNormal="100" zoomScaleSheetLayoutView="80" workbookViewId="0"/>
  </sheetViews>
  <sheetFormatPr defaultColWidth="8.88671875" defaultRowHeight="13.2"/>
  <cols>
    <col min="1" max="5" width="4.6640625" style="398" customWidth="1"/>
    <col min="6" max="8" width="8.88671875" style="398"/>
    <col min="9" max="9" width="6.33203125" style="398" customWidth="1"/>
    <col min="10" max="10" width="8.88671875" style="398"/>
    <col min="11" max="12" width="16.6640625" style="398" customWidth="1"/>
    <col min="13" max="13" width="13.5546875" style="398" bestFit="1" customWidth="1"/>
    <col min="14" max="14" width="11.88671875" style="398" bestFit="1" customWidth="1"/>
    <col min="15" max="16384" width="8.88671875" style="398"/>
  </cols>
  <sheetData>
    <row r="1" spans="2:26">
      <c r="B1" s="1114"/>
      <c r="C1" s="1114"/>
      <c r="D1" s="1114"/>
      <c r="E1" s="1114"/>
      <c r="F1" s="1114"/>
      <c r="G1" s="1114"/>
      <c r="H1" s="1114"/>
      <c r="I1" s="1114"/>
      <c r="J1" s="1114"/>
      <c r="K1" s="1114"/>
      <c r="L1" s="1114"/>
    </row>
    <row r="2" spans="2:26" ht="20.399999999999999">
      <c r="B2" s="1788" t="str">
        <f>"RESULTS  OF  "&amp;TEXT('KEY INPUTS'!D34,"0")&amp;"  OPERATIONS  - "&amp;UPPER('KEY INPUTS'!D54)&amp;" UTILITY"</f>
        <v>RESULTS  OF  2019  OPERATIONS  -  UTILITY</v>
      </c>
      <c r="C2" s="1788"/>
      <c r="D2" s="1788"/>
      <c r="E2" s="1788"/>
      <c r="F2" s="1788"/>
      <c r="G2" s="1788"/>
      <c r="H2" s="1788"/>
      <c r="I2" s="1788"/>
      <c r="J2" s="1788"/>
      <c r="K2" s="1788"/>
      <c r="L2" s="1788"/>
    </row>
    <row r="3" spans="2:26" ht="13.8" thickBot="1">
      <c r="B3" s="1114"/>
      <c r="C3" s="1114"/>
      <c r="D3" s="1114"/>
      <c r="E3" s="1114"/>
      <c r="F3" s="1114"/>
      <c r="G3" s="1114"/>
      <c r="H3" s="1114"/>
      <c r="I3" s="1114"/>
      <c r="J3" s="1114"/>
      <c r="K3" s="1114"/>
      <c r="L3" s="1114"/>
    </row>
    <row r="4" spans="2:26" ht="21" customHeight="1" thickTop="1" thickBot="1">
      <c r="B4" s="1333"/>
      <c r="C4" s="1333"/>
      <c r="D4" s="1333"/>
      <c r="E4" s="1333"/>
      <c r="F4" s="1333"/>
      <c r="G4" s="1333"/>
      <c r="H4" s="1333"/>
      <c r="I4" s="1333"/>
      <c r="J4" s="1333"/>
      <c r="K4" s="1115" t="s">
        <v>125</v>
      </c>
      <c r="L4" s="1116" t="s">
        <v>126</v>
      </c>
    </row>
    <row r="5" spans="2:26" ht="21" customHeight="1" thickTop="1">
      <c r="B5" s="1210" t="s">
        <v>270</v>
      </c>
      <c r="C5" s="1170"/>
      <c r="D5" s="1170"/>
      <c r="E5" s="1170"/>
      <c r="F5" s="1170"/>
      <c r="G5" s="1170"/>
      <c r="H5" s="1170"/>
      <c r="I5" s="1170"/>
      <c r="J5" s="1170"/>
      <c r="K5" s="1202" t="s">
        <v>787</v>
      </c>
      <c r="L5" s="1203">
        <f>IF(+'44-Utility3'!J20&gt;0,+'44-Utility3'!J22,0)</f>
        <v>0</v>
      </c>
      <c r="N5" s="322"/>
      <c r="O5" s="322"/>
      <c r="P5" s="322"/>
      <c r="Q5" s="322"/>
      <c r="R5" s="322"/>
      <c r="S5" s="322"/>
      <c r="T5" s="322"/>
    </row>
    <row r="6" spans="2:26" ht="21" customHeight="1">
      <c r="B6" s="696" t="s">
        <v>271</v>
      </c>
      <c r="C6" s="690"/>
      <c r="D6" s="690"/>
      <c r="E6" s="690"/>
      <c r="F6" s="690"/>
      <c r="G6" s="690"/>
      <c r="H6" s="690"/>
      <c r="I6" s="690"/>
      <c r="J6" s="690"/>
      <c r="K6" s="1204" t="s">
        <v>787</v>
      </c>
      <c r="L6" s="1124">
        <f>+'44-Utility3'!J40</f>
        <v>0</v>
      </c>
      <c r="M6" s="739"/>
      <c r="N6" s="322"/>
      <c r="O6" s="322"/>
      <c r="P6" s="322"/>
      <c r="Q6" s="322"/>
      <c r="R6" s="322"/>
      <c r="S6" s="322"/>
      <c r="T6" s="322"/>
    </row>
    <row r="7" spans="2:26" ht="21" customHeight="1">
      <c r="B7" s="696" t="s">
        <v>272</v>
      </c>
      <c r="C7" s="690"/>
      <c r="D7" s="690"/>
      <c r="E7" s="690"/>
      <c r="F7" s="690"/>
      <c r="G7" s="690"/>
      <c r="H7" s="690"/>
      <c r="I7" s="690"/>
      <c r="J7" s="690"/>
      <c r="K7" s="1204" t="s">
        <v>787</v>
      </c>
      <c r="L7" s="1124">
        <f>'45-Utility3'!J17</f>
        <v>0</v>
      </c>
      <c r="N7" s="377"/>
      <c r="O7" s="322"/>
      <c r="P7" s="322"/>
      <c r="Q7" s="322"/>
      <c r="R7" s="322"/>
      <c r="S7" s="322"/>
      <c r="T7" s="322"/>
    </row>
    <row r="8" spans="2:26" ht="21" customHeight="1">
      <c r="B8" s="1114" t="str">
        <f>"Unexpended Balances of "&amp;TEXT('KEY INPUTS'!D35,"0")&amp;" Appropriations*"</f>
        <v>Unexpended Balances of 2018 Appropriations*</v>
      </c>
      <c r="C8" s="690"/>
      <c r="D8" s="690"/>
      <c r="E8" s="690"/>
      <c r="F8" s="690"/>
      <c r="G8" s="690"/>
      <c r="H8" s="690"/>
      <c r="I8" s="690"/>
      <c r="J8" s="690"/>
      <c r="K8" s="1204" t="s">
        <v>787</v>
      </c>
      <c r="L8" s="1124">
        <f>+'45-Utility3'!K50</f>
        <v>0</v>
      </c>
      <c r="N8" s="322"/>
      <c r="O8" s="322"/>
      <c r="P8" s="322"/>
      <c r="Q8" s="322"/>
      <c r="R8" s="322"/>
      <c r="S8" s="322"/>
      <c r="T8" s="322"/>
    </row>
    <row r="9" spans="2:26" ht="21" customHeight="1">
      <c r="B9" s="705"/>
      <c r="C9" s="648"/>
      <c r="D9" s="648"/>
      <c r="E9" s="648"/>
      <c r="F9" s="648"/>
      <c r="G9" s="648"/>
      <c r="H9" s="648"/>
      <c r="I9" s="690"/>
      <c r="J9" s="690"/>
      <c r="K9" s="658"/>
      <c r="L9" s="609"/>
      <c r="N9" s="322"/>
      <c r="O9" s="322"/>
      <c r="P9" s="322"/>
      <c r="Q9" s="322"/>
      <c r="R9" s="322"/>
      <c r="S9" s="322"/>
      <c r="T9" s="322"/>
    </row>
    <row r="10" spans="2:26" ht="21" customHeight="1">
      <c r="B10" s="1114" t="s">
        <v>3441</v>
      </c>
      <c r="C10" s="1114"/>
      <c r="D10" s="1114"/>
      <c r="E10" s="1114"/>
      <c r="F10" s="1114"/>
      <c r="G10" s="1114"/>
      <c r="H10" s="1114"/>
      <c r="I10" s="1114"/>
      <c r="J10" s="1114"/>
      <c r="K10" s="1198"/>
      <c r="L10" s="1206" t="s">
        <v>787</v>
      </c>
      <c r="M10" s="399">
        <f>+L9+L8+L7+L6+L5-K11-K10-K9</f>
        <v>0</v>
      </c>
      <c r="N10" s="710" t="s">
        <v>3666</v>
      </c>
      <c r="O10" s="322"/>
      <c r="P10" s="322"/>
      <c r="Q10" s="322"/>
      <c r="R10" s="322"/>
      <c r="S10" s="322"/>
      <c r="T10" s="322"/>
      <c r="V10" s="477">
        <f>-'44-Utility3'!U22</f>
        <v>0</v>
      </c>
    </row>
    <row r="11" spans="2:26" ht="21" customHeight="1">
      <c r="B11" s="702"/>
      <c r="C11" s="1199"/>
      <c r="D11" s="648"/>
      <c r="E11" s="648"/>
      <c r="F11" s="648"/>
      <c r="G11" s="648"/>
      <c r="H11" s="648"/>
      <c r="I11" s="690"/>
      <c r="J11" s="690"/>
      <c r="K11" s="601"/>
      <c r="L11" s="1206" t="s">
        <v>787</v>
      </c>
      <c r="N11" s="322"/>
      <c r="O11" s="322"/>
      <c r="P11" s="322"/>
      <c r="Q11" s="322"/>
      <c r="R11" s="322"/>
      <c r="S11" s="322"/>
      <c r="T11" s="322"/>
      <c r="U11" s="322"/>
      <c r="V11" s="322"/>
      <c r="W11" s="322"/>
      <c r="X11" s="322"/>
      <c r="Y11" s="322"/>
      <c r="Z11" s="322"/>
    </row>
    <row r="12" spans="2:26" ht="21" customHeight="1">
      <c r="B12" s="696" t="s">
        <v>273</v>
      </c>
      <c r="C12" s="1172"/>
      <c r="D12" s="690"/>
      <c r="E12" s="690"/>
      <c r="F12" s="690"/>
      <c r="G12" s="690"/>
      <c r="H12" s="690"/>
      <c r="I12" s="690"/>
      <c r="J12" s="690"/>
      <c r="K12" s="1204" t="s">
        <v>787</v>
      </c>
      <c r="L12" s="1205">
        <f>IF(M10&gt;0,0,M10*-1)</f>
        <v>0</v>
      </c>
      <c r="N12" s="322"/>
      <c r="O12" s="322"/>
      <c r="P12" s="322"/>
      <c r="Q12" s="322"/>
      <c r="R12" s="322"/>
      <c r="S12" s="322"/>
      <c r="T12" s="322"/>
      <c r="U12" s="322"/>
      <c r="V12" s="322"/>
      <c r="W12" s="322"/>
      <c r="X12" s="322"/>
      <c r="Y12" s="322"/>
      <c r="Z12" s="322"/>
    </row>
    <row r="13" spans="2:26" ht="21" customHeight="1" thickBot="1">
      <c r="B13" s="696" t="s">
        <v>274</v>
      </c>
      <c r="C13" s="1172"/>
      <c r="D13" s="690"/>
      <c r="E13" s="690"/>
      <c r="F13" s="690"/>
      <c r="G13" s="690"/>
      <c r="H13" s="690"/>
      <c r="I13" s="690"/>
      <c r="J13" s="690"/>
      <c r="K13" s="689">
        <f>IF(M10&gt;0,M10,0)</f>
        <v>0</v>
      </c>
      <c r="L13" s="1207" t="s">
        <v>787</v>
      </c>
      <c r="M13" s="399"/>
      <c r="N13" s="322"/>
      <c r="O13" s="322"/>
      <c r="P13" s="322"/>
      <c r="Q13" s="322"/>
      <c r="R13" s="322"/>
      <c r="S13" s="322"/>
      <c r="T13" s="322"/>
      <c r="U13" s="322"/>
      <c r="V13" s="476">
        <f>U11</f>
        <v>0</v>
      </c>
      <c r="W13" s="322"/>
      <c r="X13" s="322"/>
      <c r="Y13" s="322"/>
      <c r="Z13" s="322"/>
    </row>
    <row r="14" spans="2:26" ht="21" customHeight="1" thickBot="1">
      <c r="B14" s="1209" t="s">
        <v>3440</v>
      </c>
      <c r="C14" s="1114"/>
      <c r="D14" s="1114"/>
      <c r="E14" s="1114"/>
      <c r="F14" s="1114"/>
      <c r="G14" s="1114"/>
      <c r="H14" s="1114"/>
      <c r="I14" s="1114"/>
      <c r="J14" s="1114"/>
      <c r="K14" s="1131">
        <f>SUM(K5:K13)</f>
        <v>0</v>
      </c>
      <c r="L14" s="1132">
        <f>SUM(L5:L13)</f>
        <v>0</v>
      </c>
      <c r="M14" s="399">
        <f>L14-K14</f>
        <v>0</v>
      </c>
      <c r="N14" s="710" t="s">
        <v>3666</v>
      </c>
      <c r="O14" s="322"/>
      <c r="P14" s="322"/>
      <c r="Q14" s="322"/>
      <c r="R14" s="322"/>
      <c r="S14" s="322"/>
      <c r="T14" s="322"/>
      <c r="U14" s="322"/>
      <c r="V14" s="322"/>
      <c r="W14" s="322"/>
      <c r="X14" s="322"/>
      <c r="Y14" s="322"/>
      <c r="Z14" s="322"/>
    </row>
    <row r="15" spans="2:26" ht="18.75" customHeight="1" thickTop="1">
      <c r="N15" s="322"/>
      <c r="O15" s="322"/>
      <c r="P15" s="322"/>
      <c r="Q15" s="322"/>
      <c r="R15" s="322"/>
      <c r="S15" s="322"/>
      <c r="T15" s="322"/>
    </row>
    <row r="16" spans="2:26" ht="18.75" customHeight="1">
      <c r="K16" s="399"/>
      <c r="N16" s="322"/>
      <c r="O16" s="322"/>
      <c r="P16" s="322"/>
      <c r="Q16" s="322"/>
      <c r="R16" s="322"/>
      <c r="S16" s="322"/>
      <c r="T16" s="322"/>
    </row>
    <row r="17" spans="2:20" ht="22.8">
      <c r="B17" s="1759" t="str">
        <f>"OPERATING  SURPLUS  - "&amp;UPPER('KEY INPUTS'!D54)&amp;" UTILITY"</f>
        <v>OPERATING  SURPLUS  -  UTILITY</v>
      </c>
      <c r="C17" s="1759"/>
      <c r="D17" s="1759"/>
      <c r="E17" s="1759"/>
      <c r="F17" s="1759"/>
      <c r="G17" s="1759"/>
      <c r="H17" s="1759"/>
      <c r="I17" s="1759"/>
      <c r="J17" s="1759"/>
      <c r="K17" s="1759"/>
      <c r="L17" s="1759"/>
      <c r="N17" s="322"/>
      <c r="O17" s="322"/>
      <c r="P17" s="322"/>
      <c r="Q17" s="322"/>
      <c r="R17" s="322"/>
      <c r="S17" s="322"/>
      <c r="T17" s="322"/>
    </row>
    <row r="18" spans="2:20" ht="6.75" customHeight="1" thickBot="1">
      <c r="B18" s="1114"/>
      <c r="C18" s="1114"/>
      <c r="D18" s="1114"/>
      <c r="E18" s="1114"/>
      <c r="F18" s="1114"/>
      <c r="G18" s="1114"/>
      <c r="H18" s="1114"/>
      <c r="I18" s="1114"/>
      <c r="J18" s="1114"/>
      <c r="K18" s="1114"/>
      <c r="L18" s="1114"/>
      <c r="N18" s="322"/>
      <c r="O18" s="322"/>
      <c r="P18" s="322"/>
      <c r="Q18" s="322"/>
      <c r="R18" s="322"/>
      <c r="S18" s="322"/>
      <c r="T18" s="322"/>
    </row>
    <row r="19" spans="2:20" ht="25.5" customHeight="1" thickTop="1" thickBot="1">
      <c r="B19" s="1333"/>
      <c r="C19" s="1333"/>
      <c r="D19" s="1333"/>
      <c r="E19" s="1333"/>
      <c r="F19" s="1333"/>
      <c r="G19" s="1333"/>
      <c r="H19" s="1333"/>
      <c r="I19" s="1333"/>
      <c r="J19" s="1333"/>
      <c r="K19" s="1115" t="s">
        <v>125</v>
      </c>
      <c r="L19" s="1116" t="s">
        <v>126</v>
      </c>
      <c r="N19" s="322"/>
      <c r="O19" s="322"/>
      <c r="P19" s="322"/>
      <c r="Q19" s="322"/>
      <c r="R19" s="322"/>
      <c r="S19" s="322"/>
      <c r="T19" s="322"/>
    </row>
    <row r="20" spans="2:20" ht="21" customHeight="1" thickTop="1">
      <c r="B20" s="1211" t="str">
        <f>'KEY INPUTS'!D25</f>
        <v>Balance - January 1, 2019</v>
      </c>
      <c r="C20" s="1170"/>
      <c r="D20" s="1170"/>
      <c r="E20" s="1170"/>
      <c r="F20" s="1170"/>
      <c r="G20" s="1170"/>
      <c r="H20" s="1170"/>
      <c r="I20" s="1170"/>
      <c r="J20" s="1170"/>
      <c r="K20" s="1335" t="s">
        <v>787</v>
      </c>
      <c r="L20" s="924"/>
      <c r="N20" s="322"/>
      <c r="O20" s="322"/>
      <c r="P20" s="322"/>
      <c r="Q20" s="322"/>
      <c r="R20" s="322"/>
      <c r="S20" s="322"/>
      <c r="T20" s="322"/>
    </row>
    <row r="21" spans="2:20" ht="21" customHeight="1">
      <c r="B21" s="1200"/>
      <c r="C21" s="648"/>
      <c r="D21" s="648"/>
      <c r="E21" s="648"/>
      <c r="F21" s="648"/>
      <c r="G21" s="648"/>
      <c r="H21" s="648"/>
      <c r="I21" s="648"/>
      <c r="J21" s="648"/>
      <c r="K21" s="1198"/>
      <c r="L21" s="922"/>
      <c r="N21" s="322"/>
      <c r="O21" s="322"/>
      <c r="P21" s="322"/>
      <c r="Q21" s="322"/>
      <c r="R21" s="322"/>
      <c r="S21" s="322"/>
      <c r="T21" s="322"/>
    </row>
    <row r="22" spans="2:20" ht="21" customHeight="1">
      <c r="B22" s="914" t="str">
        <f>"Excess in Results of "&amp;TEXT('KEY INPUTS'!D34,"0")&amp;" Operations"</f>
        <v>Excess in Results of 2019 Operations</v>
      </c>
      <c r="C22" s="690"/>
      <c r="D22" s="690"/>
      <c r="E22" s="690"/>
      <c r="F22" s="690"/>
      <c r="G22" s="690"/>
      <c r="H22" s="690"/>
      <c r="I22" s="690"/>
      <c r="J22" s="690"/>
      <c r="K22" s="1336" t="s">
        <v>787</v>
      </c>
      <c r="L22" s="1337">
        <f>+K13</f>
        <v>0</v>
      </c>
    </row>
    <row r="23" spans="2:20" ht="21" customHeight="1">
      <c r="B23" s="914" t="str">
        <f>"Amount Appropriated in the "&amp;TEXT('KEY INPUTS'!D34,"0")&amp;" Budget - Cash"</f>
        <v>Amount Appropriated in the 2019 Budget - Cash</v>
      </c>
      <c r="C23" s="690"/>
      <c r="D23" s="690"/>
      <c r="E23" s="690"/>
      <c r="F23" s="690"/>
      <c r="G23" s="690"/>
      <c r="H23" s="690"/>
      <c r="I23" s="690"/>
      <c r="J23" s="690"/>
      <c r="K23" s="1338">
        <f>'44-Utility3'!I7</f>
        <v>0</v>
      </c>
      <c r="L23" s="1339" t="s">
        <v>787</v>
      </c>
    </row>
    <row r="24" spans="2:20" ht="11.25" customHeight="1">
      <c r="B24" s="1189" t="str">
        <f>"Amount Appropriated in "&amp;TEXT('KEY INPUTS'!D34,"0")&amp;" Budget with Prior Written"</f>
        <v>Amount Appropriated in 2019 Budget with Prior Written</v>
      </c>
      <c r="C24" s="1114"/>
      <c r="D24" s="1114"/>
      <c r="E24" s="1114"/>
      <c r="F24" s="1114"/>
      <c r="G24" s="1114"/>
      <c r="H24" s="1114"/>
      <c r="I24" s="1114"/>
      <c r="J24" s="1114"/>
      <c r="K24" s="1925"/>
      <c r="L24" s="1923" t="s">
        <v>787</v>
      </c>
    </row>
    <row r="25" spans="2:20" ht="12.75" customHeight="1">
      <c r="B25" s="1128" t="s">
        <v>1065</v>
      </c>
      <c r="C25" s="1128"/>
      <c r="D25" s="1128"/>
      <c r="E25" s="1128"/>
      <c r="F25" s="1128"/>
      <c r="G25" s="1128"/>
      <c r="H25" s="1128"/>
      <c r="I25" s="1128"/>
      <c r="J25" s="1128"/>
      <c r="K25" s="1926"/>
      <c r="L25" s="1924"/>
    </row>
    <row r="26" spans="2:20" ht="21" customHeight="1">
      <c r="B26" s="1200"/>
      <c r="C26" s="648"/>
      <c r="D26" s="648"/>
      <c r="E26" s="648"/>
      <c r="F26" s="648"/>
      <c r="G26" s="648"/>
      <c r="H26" s="648"/>
      <c r="I26" s="648"/>
      <c r="J26" s="648"/>
      <c r="K26" s="923"/>
      <c r="L26" s="1201"/>
    </row>
    <row r="27" spans="2:20" ht="21" customHeight="1" thickBot="1">
      <c r="B27" s="690" t="str">
        <f>'KEY INPUTS'!D26</f>
        <v>Balance - December 31, 2019</v>
      </c>
      <c r="C27" s="690"/>
      <c r="D27" s="690"/>
      <c r="E27" s="690"/>
      <c r="F27" s="690"/>
      <c r="G27" s="690"/>
      <c r="H27" s="690"/>
      <c r="I27" s="690"/>
      <c r="J27" s="690"/>
      <c r="K27" s="1340">
        <f>+SUM(L20:L26)-SUM(K21:K26)</f>
        <v>0</v>
      </c>
      <c r="L27" s="1341" t="s">
        <v>787</v>
      </c>
      <c r="N27" s="776" t="s">
        <v>3529</v>
      </c>
    </row>
    <row r="28" spans="2:20" ht="21" customHeight="1" thickBot="1">
      <c r="B28" s="1114"/>
      <c r="C28" s="1114"/>
      <c r="D28" s="1114"/>
      <c r="E28" s="1114"/>
      <c r="F28" s="1114"/>
      <c r="G28" s="1114"/>
      <c r="H28" s="1114"/>
      <c r="I28" s="1114"/>
      <c r="J28" s="1114"/>
      <c r="K28" s="1131">
        <f>SUM(K21:K27)</f>
        <v>0</v>
      </c>
      <c r="L28" s="1132">
        <f>SUM(L20:L27)</f>
        <v>0</v>
      </c>
    </row>
    <row r="29" spans="2:20" ht="13.8" thickTop="1"/>
    <row r="32" spans="2:20" ht="17.399999999999999">
      <c r="B32" s="1805" t="str">
        <f>"ANALYSIS  OF  BALANCE  DECEMBER 31, "&amp;TEXT('KEY INPUTS'!D34,"0")&amp;""</f>
        <v>ANALYSIS  OF  BALANCE  DECEMBER 31, 2019</v>
      </c>
      <c r="C32" s="1805"/>
      <c r="D32" s="1805"/>
      <c r="E32" s="1805"/>
      <c r="F32" s="1805"/>
      <c r="G32" s="1805"/>
      <c r="H32" s="1805"/>
      <c r="I32" s="1805"/>
      <c r="J32" s="1805"/>
      <c r="K32" s="1805"/>
      <c r="L32" s="1805"/>
    </row>
    <row r="33" spans="2:14" ht="17.399999999999999">
      <c r="B33" s="1805" t="str">
        <f>"(FROM "&amp;UPPER('KEY INPUTS'!D54)&amp;" UTILITY  -  TRIAL  BALANCE)"</f>
        <v>(FROM  UTILITY  -  TRIAL  BALANCE)</v>
      </c>
      <c r="C33" s="1805"/>
      <c r="D33" s="1805"/>
      <c r="E33" s="1805"/>
      <c r="F33" s="1805"/>
      <c r="G33" s="1805"/>
      <c r="H33" s="1805"/>
      <c r="I33" s="1805"/>
      <c r="J33" s="1805"/>
      <c r="K33" s="1805"/>
      <c r="L33" s="1805"/>
    </row>
    <row r="34" spans="2:14" ht="13.8" thickBot="1">
      <c r="B34" s="1114"/>
      <c r="C34" s="1114"/>
      <c r="D34" s="1114"/>
      <c r="E34" s="1114"/>
      <c r="F34" s="1114"/>
      <c r="G34" s="1114"/>
      <c r="H34" s="1114"/>
      <c r="I34" s="1114"/>
      <c r="J34" s="1114"/>
      <c r="K34" s="1114"/>
      <c r="L34" s="1114"/>
    </row>
    <row r="35" spans="2:14" ht="21" customHeight="1" thickTop="1">
      <c r="B35" s="1170" t="s">
        <v>253</v>
      </c>
      <c r="C35" s="1170"/>
      <c r="D35" s="1170"/>
      <c r="E35" s="1170"/>
      <c r="F35" s="1170"/>
      <c r="G35" s="1170"/>
      <c r="H35" s="1170"/>
      <c r="I35" s="1170"/>
      <c r="J35" s="1170"/>
      <c r="K35" s="1214"/>
      <c r="L35" s="1213">
        <f>+'41-Utility3'!G13</f>
        <v>0</v>
      </c>
    </row>
    <row r="36" spans="2:14" ht="21" customHeight="1">
      <c r="B36" s="690" t="s">
        <v>419</v>
      </c>
      <c r="C36" s="690"/>
      <c r="D36" s="690"/>
      <c r="E36" s="690"/>
      <c r="F36" s="690"/>
      <c r="G36" s="690"/>
      <c r="H36" s="690"/>
      <c r="I36" s="690"/>
      <c r="J36" s="690"/>
      <c r="K36" s="1215"/>
      <c r="L36" s="631"/>
    </row>
    <row r="37" spans="2:14" ht="21" customHeight="1" thickBot="1">
      <c r="B37" s="690" t="s">
        <v>829</v>
      </c>
      <c r="C37" s="690"/>
      <c r="D37" s="690"/>
      <c r="E37" s="690"/>
      <c r="F37" s="690"/>
      <c r="G37" s="690"/>
      <c r="H37" s="690"/>
      <c r="I37" s="690"/>
      <c r="J37" s="690"/>
      <c r="K37" s="1215"/>
      <c r="L37" s="633"/>
    </row>
    <row r="38" spans="2:14" ht="21" customHeight="1" thickTop="1">
      <c r="B38" s="690"/>
      <c r="C38" s="690"/>
      <c r="D38" s="690" t="s">
        <v>421</v>
      </c>
      <c r="E38" s="690"/>
      <c r="F38" s="690"/>
      <c r="G38" s="690"/>
      <c r="H38" s="690"/>
      <c r="I38" s="690"/>
      <c r="J38" s="690"/>
      <c r="K38" s="1215"/>
      <c r="L38" s="1216">
        <f>SUM(L35:L37)</f>
        <v>0</v>
      </c>
    </row>
    <row r="39" spans="2:14" ht="21" customHeight="1" thickBot="1">
      <c r="B39" s="690" t="s">
        <v>470</v>
      </c>
      <c r="C39" s="690"/>
      <c r="D39" s="690"/>
      <c r="E39" s="690"/>
      <c r="F39" s="690"/>
      <c r="G39" s="690"/>
      <c r="H39" s="690"/>
      <c r="I39" s="690"/>
      <c r="J39" s="690"/>
      <c r="K39" s="1215"/>
      <c r="L39" s="1217">
        <f>+'41-Utility3'!H39</f>
        <v>0</v>
      </c>
    </row>
    <row r="40" spans="2:14" ht="21" customHeight="1" thickTop="1">
      <c r="B40" s="690"/>
      <c r="C40" s="690"/>
      <c r="D40" s="690" t="s">
        <v>268</v>
      </c>
      <c r="E40" s="690"/>
      <c r="F40" s="690"/>
      <c r="G40" s="690"/>
      <c r="H40" s="690"/>
      <c r="I40" s="690"/>
      <c r="J40" s="690"/>
      <c r="K40" s="1215"/>
      <c r="L40" s="1216">
        <f>+L38-L39</f>
        <v>0</v>
      </c>
    </row>
    <row r="41" spans="2:14" ht="21" customHeight="1">
      <c r="B41" s="690" t="s">
        <v>477</v>
      </c>
      <c r="C41" s="690"/>
      <c r="D41" s="690"/>
      <c r="E41" s="690"/>
      <c r="F41" s="690"/>
      <c r="G41" s="690"/>
      <c r="H41" s="690"/>
      <c r="I41" s="690"/>
      <c r="J41" s="690"/>
      <c r="K41" s="691"/>
      <c r="L41" s="1120"/>
    </row>
    <row r="42" spans="2:14" ht="22.5" customHeight="1">
      <c r="B42" s="690"/>
      <c r="C42" s="1804" t="s">
        <v>473</v>
      </c>
      <c r="D42" s="1804"/>
      <c r="E42" s="1804"/>
      <c r="F42" s="1804"/>
      <c r="G42" s="1804"/>
      <c r="H42" s="1223"/>
      <c r="I42" s="690"/>
      <c r="J42" s="690"/>
      <c r="K42" s="601"/>
      <c r="L42" s="1120"/>
    </row>
    <row r="43" spans="2:14" ht="21" customHeight="1">
      <c r="B43" s="690"/>
      <c r="C43" s="690" t="s">
        <v>269</v>
      </c>
      <c r="D43" s="690"/>
      <c r="E43" s="690"/>
      <c r="F43" s="690"/>
      <c r="G43" s="690"/>
      <c r="H43" s="690"/>
      <c r="I43" s="690"/>
      <c r="J43" s="690"/>
      <c r="K43" s="601"/>
      <c r="L43" s="1120"/>
      <c r="M43" s="399"/>
      <c r="N43" s="399"/>
    </row>
    <row r="44" spans="2:14" ht="21" customHeight="1" thickBot="1">
      <c r="B44" s="690"/>
      <c r="C44" s="690"/>
      <c r="D44" s="690" t="s">
        <v>475</v>
      </c>
      <c r="E44" s="690"/>
      <c r="F44" s="690"/>
      <c r="G44" s="690"/>
      <c r="H44" s="690"/>
      <c r="I44" s="690"/>
      <c r="J44" s="690"/>
      <c r="K44" s="1219"/>
      <c r="L44" s="1130">
        <f>SUM(K42:K43)</f>
        <v>0</v>
      </c>
    </row>
    <row r="45" spans="2:14" ht="21" customHeight="1" thickBot="1">
      <c r="B45" s="1220" t="str">
        <f>"# MAY NOT BE ANTICIPATED AS NON-CASH SURPLUS IN "&amp;TEXT('KEY INPUTS'!D34,"0")&amp;" BUDGET."</f>
        <v># MAY NOT BE ANTICIPATED AS NON-CASH SURPLUS IN 2019 BUDGET.</v>
      </c>
      <c r="C45" s="1114"/>
      <c r="D45" s="1114"/>
      <c r="E45" s="1114"/>
      <c r="F45" s="1114"/>
      <c r="G45" s="1114"/>
      <c r="H45" s="1114"/>
      <c r="I45" s="1114"/>
      <c r="J45" s="1114"/>
      <c r="K45" s="1221"/>
      <c r="L45" s="1218">
        <f>+L40+L44</f>
        <v>0</v>
      </c>
      <c r="M45" s="399"/>
      <c r="N45" s="776" t="s">
        <v>3529</v>
      </c>
    </row>
    <row r="46" spans="2:14" ht="13.8" thickTop="1">
      <c r="B46" s="470" t="s">
        <v>275</v>
      </c>
      <c r="C46" s="470"/>
    </row>
    <row r="47" spans="2:14">
      <c r="B47" s="470"/>
      <c r="C47" s="470" t="s">
        <v>3439</v>
      </c>
    </row>
    <row r="52" spans="2:12" ht="13.8">
      <c r="B52" s="1765" t="s">
        <v>3438</v>
      </c>
      <c r="C52" s="1765"/>
      <c r="D52" s="1765"/>
      <c r="E52" s="1765"/>
      <c r="F52" s="1765"/>
      <c r="G52" s="1765"/>
      <c r="H52" s="1765"/>
      <c r="I52" s="1765"/>
      <c r="J52" s="1765"/>
      <c r="K52" s="1765"/>
      <c r="L52" s="1765"/>
    </row>
  </sheetData>
  <sheetProtection password="CAF9" sheet="1" objects="1" scenarios="1"/>
  <customSheetViews>
    <customSheetView guid="{AC653BD0-46E3-42CB-9C76-32121A57B65A}">
      <pageMargins left="0.25" right="0.25" top="0.5" bottom="0.5" header="0.25" footer="0.25"/>
      <pageSetup paperSize="5" orientation="portrait" r:id="rId1"/>
      <headerFooter alignWithMargins="0"/>
    </customSheetView>
    <customSheetView guid="{B165479B-DC25-403C-9595-F1A88A4AA9A2}">
      <pageMargins left="0.25" right="0.25" top="0.5" bottom="0.5" header="0.25" footer="0.25"/>
      <pageSetup paperSize="5" orientation="portrait" r:id="rId2"/>
      <headerFooter alignWithMargins="0"/>
    </customSheetView>
    <customSheetView guid="{A64E4C9E-A3DA-4AAA-8607-F524450B9436}">
      <pageMargins left="0.25" right="0.25" top="0.5" bottom="0.5" header="0.25" footer="0.25"/>
      <pageSetup paperSize="5" orientation="portrait" r:id="rId3"/>
      <headerFooter alignWithMargins="0"/>
    </customSheetView>
    <customSheetView guid="{AB4FBD91-4533-473A-9702-569FF6402073}">
      <pageMargins left="0.25" right="0.25" top="0.5" bottom="0.5" header="0.25" footer="0.25"/>
      <pageSetup paperSize="5" orientation="portrait" r:id="rId4"/>
      <headerFooter alignWithMargins="0"/>
    </customSheetView>
  </customSheetViews>
  <mergeCells count="8">
    <mergeCell ref="B52:L52"/>
    <mergeCell ref="B2:L2"/>
    <mergeCell ref="B17:L17"/>
    <mergeCell ref="B32:L32"/>
    <mergeCell ref="B33:L33"/>
    <mergeCell ref="C42:G42"/>
    <mergeCell ref="K24:K25"/>
    <mergeCell ref="L24:L25"/>
  </mergeCells>
  <pageMargins left="0.25" right="0.25" top="0.5" bottom="0.5" header="0.25" footer="0.25"/>
  <pageSetup paperSize="5" orientation="portrait"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B2:V52"/>
  <sheetViews>
    <sheetView topLeftCell="A37" zoomScaleNormal="100" workbookViewId="0">
      <selection activeCell="B3" sqref="B3:O3"/>
    </sheetView>
  </sheetViews>
  <sheetFormatPr defaultRowHeight="13.2"/>
  <cols>
    <col min="1" max="3" width="4.6640625" customWidth="1"/>
    <col min="5" max="5" width="11.88671875" customWidth="1"/>
    <col min="6" max="6" width="1.6640625" customWidth="1"/>
    <col min="7" max="7" width="14.6640625" customWidth="1"/>
    <col min="8" max="8" width="1.6640625" customWidth="1"/>
    <col min="9" max="9" width="14.6640625" customWidth="1"/>
    <col min="10" max="10" width="1.6640625" customWidth="1"/>
    <col min="11" max="11" width="14.6640625" customWidth="1"/>
    <col min="12" max="12" width="1.6640625" customWidth="1"/>
    <col min="13" max="13" width="14.6640625" customWidth="1"/>
    <col min="14" max="14" width="10.88671875" bestFit="1" customWidth="1"/>
  </cols>
  <sheetData>
    <row r="2" spans="2:22" ht="20.399999999999999">
      <c r="B2" s="1508" t="s">
        <v>3639</v>
      </c>
      <c r="C2" s="1508"/>
      <c r="D2" s="1508"/>
      <c r="E2" s="1508"/>
      <c r="F2" s="1508"/>
      <c r="G2" s="1508"/>
      <c r="H2" s="1508"/>
      <c r="I2" s="1508"/>
      <c r="J2" s="1508"/>
      <c r="K2" s="1508"/>
      <c r="L2" s="1508"/>
      <c r="M2" s="1508"/>
    </row>
    <row r="3" spans="2:22">
      <c r="B3" s="1511"/>
      <c r="C3" s="1511"/>
      <c r="D3" s="1511"/>
      <c r="E3" s="1511"/>
      <c r="F3" s="1511"/>
      <c r="G3" s="1511"/>
      <c r="H3" s="1511"/>
      <c r="I3" s="1511"/>
      <c r="J3" s="1511"/>
      <c r="K3" s="1511"/>
      <c r="L3" s="1511"/>
      <c r="M3" s="1511"/>
    </row>
    <row r="5" spans="2:22">
      <c r="B5" s="1572"/>
      <c r="C5" s="1572"/>
      <c r="D5" s="1572"/>
      <c r="G5" s="1" t="s">
        <v>533</v>
      </c>
      <c r="I5" s="130"/>
      <c r="K5" s="130"/>
    </row>
    <row r="6" spans="2:22">
      <c r="B6" s="1572"/>
      <c r="C6" s="1572"/>
      <c r="D6" s="1572"/>
      <c r="G6" s="297" t="str">
        <f>'KEY INPUTS'!D45</f>
        <v>Dec. 31, 2018</v>
      </c>
      <c r="I6" s="1"/>
      <c r="K6" s="1"/>
      <c r="M6" s="1" t="s">
        <v>671</v>
      </c>
    </row>
    <row r="7" spans="2:22">
      <c r="G7" s="1" t="s">
        <v>552</v>
      </c>
      <c r="I7" s="1"/>
      <c r="K7" s="1"/>
      <c r="M7" s="1" t="s">
        <v>556</v>
      </c>
    </row>
    <row r="8" spans="2:22">
      <c r="B8" s="1572" t="s">
        <v>532</v>
      </c>
      <c r="C8" s="1572"/>
      <c r="D8" s="1572"/>
      <c r="G8" s="130" t="s">
        <v>551</v>
      </c>
      <c r="I8" s="130" t="s">
        <v>546</v>
      </c>
      <c r="K8" s="130" t="s">
        <v>677</v>
      </c>
      <c r="M8" s="294" t="str">
        <f>'KEY INPUTS'!D46</f>
        <v>Dec. 31, 2019</v>
      </c>
    </row>
    <row r="9" spans="2:22">
      <c r="B9" s="130"/>
      <c r="C9" s="130"/>
      <c r="D9" s="130"/>
      <c r="G9" s="250"/>
      <c r="I9" s="130"/>
      <c r="K9" s="130"/>
      <c r="M9" s="133"/>
    </row>
    <row r="10" spans="2:22" ht="21" customHeight="1">
      <c r="B10" s="666" t="s">
        <v>3804</v>
      </c>
      <c r="C10" s="375"/>
      <c r="D10" s="375"/>
      <c r="E10" s="375"/>
      <c r="F10" s="397"/>
      <c r="G10" s="376">
        <v>1059768.52</v>
      </c>
      <c r="H10" s="397"/>
      <c r="I10" s="376">
        <v>370834.77</v>
      </c>
      <c r="J10" s="397"/>
      <c r="K10" s="376">
        <v>43750.09</v>
      </c>
      <c r="L10" s="379"/>
      <c r="M10" s="855">
        <f t="shared" ref="M10:M15" si="0">+G10+I10-K10</f>
        <v>1386853.2</v>
      </c>
      <c r="N10" s="228"/>
    </row>
    <row r="11" spans="2:22" ht="21" customHeight="1">
      <c r="B11" s="375" t="s">
        <v>3805</v>
      </c>
      <c r="C11" s="375"/>
      <c r="D11" s="375"/>
      <c r="E11" s="375"/>
      <c r="F11" s="397"/>
      <c r="G11" s="376">
        <v>1092905.33</v>
      </c>
      <c r="H11" s="397"/>
      <c r="I11" s="376">
        <f>271929.77-750</f>
        <v>271179.77</v>
      </c>
      <c r="J11" s="397"/>
      <c r="K11" s="376">
        <v>481696.67</v>
      </c>
      <c r="L11" s="379"/>
      <c r="M11" s="855">
        <f t="shared" si="0"/>
        <v>882388.43000000017</v>
      </c>
      <c r="N11" s="325"/>
      <c r="O11" s="322"/>
      <c r="P11" s="322"/>
      <c r="Q11" s="322"/>
      <c r="R11" s="322"/>
      <c r="S11" s="322"/>
      <c r="T11" s="322"/>
      <c r="U11" s="322"/>
      <c r="V11" s="322"/>
    </row>
    <row r="12" spans="2:22" ht="21" customHeight="1">
      <c r="B12" s="375" t="s">
        <v>3806</v>
      </c>
      <c r="C12" s="375"/>
      <c r="D12" s="375"/>
      <c r="E12" s="375"/>
      <c r="F12" s="397"/>
      <c r="G12" s="376">
        <v>388.42</v>
      </c>
      <c r="H12" s="397"/>
      <c r="I12" s="376">
        <v>7398566.3700000001</v>
      </c>
      <c r="J12" s="397"/>
      <c r="K12" s="376">
        <v>7394162.0300000003</v>
      </c>
      <c r="L12" s="379"/>
      <c r="M12" s="855">
        <f t="shared" si="0"/>
        <v>4792.7599999997765</v>
      </c>
      <c r="N12" s="325"/>
      <c r="O12" s="322"/>
      <c r="P12" s="322"/>
      <c r="Q12" s="322"/>
      <c r="R12" s="322"/>
      <c r="S12" s="322"/>
      <c r="T12" s="322"/>
      <c r="U12" s="322"/>
      <c r="V12" s="322"/>
    </row>
    <row r="13" spans="2:22" ht="21" customHeight="1">
      <c r="B13" s="375" t="s">
        <v>3807</v>
      </c>
      <c r="C13" s="375"/>
      <c r="D13" s="375"/>
      <c r="E13" s="375"/>
      <c r="F13" s="397"/>
      <c r="G13" s="376">
        <v>33887.699999999997</v>
      </c>
      <c r="H13" s="397"/>
      <c r="I13" s="665">
        <v>4845.5200000000004</v>
      </c>
      <c r="J13" s="397"/>
      <c r="K13" s="376">
        <v>1702.32</v>
      </c>
      <c r="L13" s="379"/>
      <c r="M13" s="855">
        <f t="shared" si="0"/>
        <v>37030.9</v>
      </c>
      <c r="N13" s="325"/>
      <c r="O13" s="377"/>
      <c r="P13" s="322"/>
      <c r="Q13" s="322"/>
      <c r="R13" s="322"/>
      <c r="S13" s="322"/>
      <c r="T13" s="322"/>
      <c r="U13" s="322"/>
      <c r="V13" s="322"/>
    </row>
    <row r="14" spans="2:22" ht="21" customHeight="1">
      <c r="B14" s="666" t="s">
        <v>3808</v>
      </c>
      <c r="C14" s="375"/>
      <c r="D14" s="375"/>
      <c r="E14" s="375"/>
      <c r="F14" s="397"/>
      <c r="G14" s="376">
        <v>1070.95</v>
      </c>
      <c r="H14" s="397"/>
      <c r="I14" s="376">
        <v>16</v>
      </c>
      <c r="J14" s="397"/>
      <c r="K14" s="376">
        <v>0</v>
      </c>
      <c r="L14" s="379"/>
      <c r="M14" s="855">
        <f t="shared" si="0"/>
        <v>1086.95</v>
      </c>
      <c r="N14" s="325"/>
      <c r="O14" s="322"/>
      <c r="P14" s="322"/>
      <c r="Q14" s="322"/>
      <c r="R14" s="322"/>
      <c r="S14" s="322"/>
      <c r="T14" s="322"/>
      <c r="U14" s="322"/>
      <c r="V14" s="322"/>
    </row>
    <row r="15" spans="2:22" ht="21" customHeight="1">
      <c r="B15" s="375" t="s">
        <v>3809</v>
      </c>
      <c r="C15" s="375"/>
      <c r="D15" s="375"/>
      <c r="E15" s="375"/>
      <c r="F15" s="397"/>
      <c r="G15" s="376">
        <v>15913.42</v>
      </c>
      <c r="H15" s="397"/>
      <c r="I15" s="376">
        <v>9475</v>
      </c>
      <c r="J15" s="397"/>
      <c r="K15" s="376">
        <v>13050</v>
      </c>
      <c r="L15" s="379"/>
      <c r="M15" s="855">
        <f t="shared" si="0"/>
        <v>12338.419999999998</v>
      </c>
      <c r="N15" s="325"/>
      <c r="O15" s="322"/>
      <c r="P15" s="322"/>
      <c r="Q15" s="322"/>
      <c r="R15" s="322"/>
      <c r="S15" s="322"/>
      <c r="T15" s="322"/>
      <c r="U15" s="322"/>
      <c r="V15" s="322"/>
    </row>
    <row r="16" spans="2:22" ht="21" customHeight="1">
      <c r="B16" s="375" t="s">
        <v>3810</v>
      </c>
      <c r="C16" s="375"/>
      <c r="D16" s="375"/>
      <c r="E16" s="375"/>
      <c r="F16" s="397"/>
      <c r="G16" s="376">
        <v>5630</v>
      </c>
      <c r="H16" s="397"/>
      <c r="I16" s="376">
        <v>325</v>
      </c>
      <c r="J16" s="397"/>
      <c r="K16" s="376">
        <v>300</v>
      </c>
      <c r="L16" s="379"/>
      <c r="M16" s="855">
        <f t="shared" ref="M16:M47" si="1">+G16+I16-K16</f>
        <v>5655</v>
      </c>
      <c r="N16" s="325"/>
      <c r="O16" s="322"/>
      <c r="P16" s="322"/>
      <c r="Q16" s="322"/>
      <c r="R16" s="322"/>
      <c r="S16" s="322"/>
      <c r="T16" s="322"/>
      <c r="U16" s="322"/>
      <c r="V16" s="322"/>
    </row>
    <row r="17" spans="2:22" ht="21" customHeight="1">
      <c r="B17" s="375" t="s">
        <v>3811</v>
      </c>
      <c r="C17" s="375"/>
      <c r="D17" s="375"/>
      <c r="E17" s="375"/>
      <c r="F17" s="397"/>
      <c r="G17" s="376">
        <v>31813.4</v>
      </c>
      <c r="H17" s="397"/>
      <c r="I17" s="376">
        <v>0</v>
      </c>
      <c r="J17" s="397"/>
      <c r="K17" s="376">
        <v>0</v>
      </c>
      <c r="L17" s="379"/>
      <c r="M17" s="855">
        <f t="shared" si="1"/>
        <v>31813.4</v>
      </c>
      <c r="N17" s="325"/>
      <c r="O17" s="322"/>
      <c r="P17" s="322"/>
      <c r="Q17" s="322"/>
      <c r="R17" s="322"/>
      <c r="S17" s="322"/>
      <c r="T17" s="322"/>
      <c r="U17" s="322"/>
      <c r="V17" s="322"/>
    </row>
    <row r="18" spans="2:22" ht="21" customHeight="1">
      <c r="B18" s="375" t="s">
        <v>3812</v>
      </c>
      <c r="C18" s="375"/>
      <c r="D18" s="375"/>
      <c r="E18" s="375"/>
      <c r="F18" s="397"/>
      <c r="G18" s="376">
        <v>56534.64</v>
      </c>
      <c r="H18" s="397"/>
      <c r="I18" s="376">
        <v>3200</v>
      </c>
      <c r="J18" s="397"/>
      <c r="K18" s="376">
        <v>0</v>
      </c>
      <c r="L18" s="379"/>
      <c r="M18" s="855">
        <f t="shared" si="1"/>
        <v>59734.64</v>
      </c>
      <c r="N18" s="325"/>
      <c r="O18" s="322"/>
      <c r="P18" s="322"/>
      <c r="Q18" s="322"/>
      <c r="R18" s="322"/>
      <c r="S18" s="322"/>
      <c r="T18" s="322"/>
      <c r="U18" s="322"/>
      <c r="V18" s="322"/>
    </row>
    <row r="19" spans="2:22" ht="21" customHeight="1">
      <c r="B19" s="666" t="s">
        <v>3813</v>
      </c>
      <c r="C19" s="375"/>
      <c r="D19" s="375"/>
      <c r="E19" s="375"/>
      <c r="F19" s="397"/>
      <c r="G19" s="376">
        <v>23608</v>
      </c>
      <c r="H19" s="397"/>
      <c r="I19" s="376">
        <v>0</v>
      </c>
      <c r="J19" s="397"/>
      <c r="K19" s="376">
        <v>0</v>
      </c>
      <c r="L19" s="379"/>
      <c r="M19" s="855">
        <f t="shared" si="1"/>
        <v>23608</v>
      </c>
      <c r="N19" s="228"/>
      <c r="O19" s="322"/>
      <c r="P19" s="322"/>
      <c r="Q19" s="322"/>
      <c r="R19" s="322"/>
      <c r="S19" s="322"/>
      <c r="T19" s="322"/>
      <c r="U19" s="322"/>
      <c r="V19" s="322"/>
    </row>
    <row r="20" spans="2:22" ht="21" customHeight="1">
      <c r="B20" s="666" t="s">
        <v>3814</v>
      </c>
      <c r="C20" s="375"/>
      <c r="D20" s="375"/>
      <c r="E20" s="375"/>
      <c r="F20" s="397"/>
      <c r="G20" s="376">
        <v>0</v>
      </c>
      <c r="H20" s="397"/>
      <c r="I20" s="376">
        <v>5050</v>
      </c>
      <c r="J20" s="397"/>
      <c r="K20" s="376">
        <v>0</v>
      </c>
      <c r="L20" s="379"/>
      <c r="M20" s="855">
        <f t="shared" si="1"/>
        <v>5050</v>
      </c>
      <c r="N20" s="325"/>
      <c r="O20" s="322"/>
      <c r="P20" s="322"/>
      <c r="Q20" s="322"/>
      <c r="R20" s="322"/>
      <c r="S20" s="322"/>
      <c r="T20" s="322"/>
      <c r="U20" s="322"/>
      <c r="V20" s="322"/>
    </row>
    <row r="21" spans="2:22" ht="21" customHeight="1">
      <c r="B21" s="666" t="s">
        <v>3815</v>
      </c>
      <c r="C21" s="375"/>
      <c r="D21" s="375"/>
      <c r="E21" s="375"/>
      <c r="F21" s="397"/>
      <c r="G21" s="376">
        <v>18003.189999999999</v>
      </c>
      <c r="H21" s="397"/>
      <c r="I21" s="376">
        <v>60200</v>
      </c>
      <c r="J21" s="397"/>
      <c r="K21" s="376">
        <v>0</v>
      </c>
      <c r="L21" s="379"/>
      <c r="M21" s="855">
        <f t="shared" si="1"/>
        <v>78203.19</v>
      </c>
      <c r="N21" s="325"/>
      <c r="O21" s="322"/>
      <c r="P21" s="322"/>
      <c r="Q21" s="322"/>
      <c r="R21" s="322"/>
      <c r="S21" s="322"/>
      <c r="T21" s="322"/>
      <c r="U21" s="322"/>
      <c r="V21" s="322"/>
    </row>
    <row r="22" spans="2:22" ht="21" customHeight="1">
      <c r="B22" s="666" t="s">
        <v>3816</v>
      </c>
      <c r="C22" s="375"/>
      <c r="D22" s="375"/>
      <c r="E22" s="375"/>
      <c r="F22" s="397"/>
      <c r="G22" s="376">
        <v>9725.7199999999993</v>
      </c>
      <c r="H22" s="397"/>
      <c r="I22" s="376">
        <v>1412.38</v>
      </c>
      <c r="J22" s="397"/>
      <c r="K22" s="376">
        <v>0</v>
      </c>
      <c r="L22" s="379"/>
      <c r="M22" s="855">
        <f t="shared" si="1"/>
        <v>11138.099999999999</v>
      </c>
      <c r="N22" s="325"/>
      <c r="O22" s="322"/>
      <c r="P22" s="322"/>
      <c r="Q22" s="322"/>
      <c r="R22" s="322"/>
      <c r="S22" s="322"/>
      <c r="T22" s="322"/>
      <c r="U22" s="322"/>
      <c r="V22" s="322"/>
    </row>
    <row r="23" spans="2:22" ht="21" customHeight="1">
      <c r="B23" s="666" t="s">
        <v>3817</v>
      </c>
      <c r="C23" s="375"/>
      <c r="D23" s="375"/>
      <c r="E23" s="375"/>
      <c r="F23" s="397"/>
      <c r="G23" s="376">
        <v>92335.58</v>
      </c>
      <c r="H23" s="397"/>
      <c r="I23" s="376">
        <v>15530.51</v>
      </c>
      <c r="J23" s="397"/>
      <c r="K23" s="376">
        <v>11110.43</v>
      </c>
      <c r="L23" s="379"/>
      <c r="M23" s="855">
        <f t="shared" si="1"/>
        <v>96755.66</v>
      </c>
      <c r="N23" s="325"/>
      <c r="O23" s="322"/>
      <c r="P23" s="322"/>
      <c r="Q23" s="322"/>
      <c r="R23" s="322"/>
      <c r="S23" s="322"/>
      <c r="T23" s="322"/>
      <c r="U23" s="322"/>
      <c r="V23" s="322"/>
    </row>
    <row r="24" spans="2:22" ht="21" customHeight="1">
      <c r="B24" s="666" t="s">
        <v>3818</v>
      </c>
      <c r="C24" s="375"/>
      <c r="D24" s="375"/>
      <c r="E24" s="375"/>
      <c r="F24" s="397"/>
      <c r="G24" s="376">
        <v>310145.95</v>
      </c>
      <c r="H24" s="397"/>
      <c r="I24" s="376">
        <v>3324.15</v>
      </c>
      <c r="J24" s="397"/>
      <c r="K24" s="376">
        <v>0</v>
      </c>
      <c r="L24" s="379"/>
      <c r="M24" s="855">
        <f t="shared" si="1"/>
        <v>313470.10000000003</v>
      </c>
      <c r="N24" s="325"/>
      <c r="O24" s="322"/>
      <c r="P24" s="322"/>
      <c r="Q24" s="322"/>
      <c r="R24" s="322"/>
      <c r="S24" s="322"/>
      <c r="T24" s="322"/>
      <c r="U24" s="322"/>
      <c r="V24" s="322"/>
    </row>
    <row r="25" spans="2:22" ht="21" customHeight="1">
      <c r="B25" s="375" t="s">
        <v>3819</v>
      </c>
      <c r="C25" s="375"/>
      <c r="D25" s="375"/>
      <c r="E25" s="375"/>
      <c r="F25" s="397"/>
      <c r="G25" s="376">
        <v>2297.5300000000002</v>
      </c>
      <c r="H25" s="397"/>
      <c r="I25" s="376">
        <v>0</v>
      </c>
      <c r="J25" s="397"/>
      <c r="K25" s="376">
        <v>0</v>
      </c>
      <c r="L25" s="379"/>
      <c r="M25" s="855">
        <f t="shared" si="1"/>
        <v>2297.5300000000002</v>
      </c>
      <c r="N25" s="325"/>
      <c r="O25" s="322"/>
      <c r="P25" s="322"/>
      <c r="Q25" s="322"/>
      <c r="R25" s="322"/>
      <c r="S25" s="322"/>
      <c r="T25" s="322"/>
      <c r="U25" s="322"/>
      <c r="V25" s="322"/>
    </row>
    <row r="26" spans="2:22" ht="21" customHeight="1">
      <c r="B26" s="375" t="s">
        <v>3820</v>
      </c>
      <c r="C26" s="375"/>
      <c r="D26" s="375"/>
      <c r="E26" s="375"/>
      <c r="F26" s="397"/>
      <c r="G26" s="376">
        <v>17691.72</v>
      </c>
      <c r="H26" s="397"/>
      <c r="I26" s="376">
        <v>16514.7</v>
      </c>
      <c r="J26" s="397"/>
      <c r="K26" s="376">
        <v>26955.7</v>
      </c>
      <c r="L26" s="379"/>
      <c r="M26" s="855">
        <f t="shared" si="1"/>
        <v>7250.7199999999975</v>
      </c>
      <c r="O26" s="322"/>
      <c r="P26" s="322"/>
      <c r="Q26" s="322"/>
      <c r="R26" s="322"/>
      <c r="S26" s="322"/>
      <c r="T26" s="322"/>
      <c r="U26" s="322"/>
      <c r="V26" s="322"/>
    </row>
    <row r="27" spans="2:22" ht="21" customHeight="1">
      <c r="B27" s="375" t="s">
        <v>3821</v>
      </c>
      <c r="C27" s="375"/>
      <c r="D27" s="375"/>
      <c r="E27" s="375"/>
      <c r="F27" s="397"/>
      <c r="G27" s="376">
        <v>70425.649999999994</v>
      </c>
      <c r="H27" s="397"/>
      <c r="I27" s="376">
        <v>713093.52</v>
      </c>
      <c r="J27" s="397"/>
      <c r="K27" s="376">
        <v>589477.17000000004</v>
      </c>
      <c r="L27" s="379"/>
      <c r="M27" s="855">
        <f t="shared" si="1"/>
        <v>194042</v>
      </c>
      <c r="O27" s="322"/>
      <c r="P27" s="322"/>
      <c r="Q27" s="322"/>
      <c r="R27" s="322"/>
      <c r="S27" s="322"/>
      <c r="T27" s="322"/>
      <c r="U27" s="322"/>
      <c r="V27" s="322"/>
    </row>
    <row r="28" spans="2:22" ht="21" customHeight="1">
      <c r="B28" s="375"/>
      <c r="C28" s="375"/>
      <c r="D28" s="375"/>
      <c r="E28" s="375"/>
      <c r="F28" s="397"/>
      <c r="G28" s="376"/>
      <c r="H28" s="397"/>
      <c r="I28" s="376"/>
      <c r="J28" s="397"/>
      <c r="K28" s="376"/>
      <c r="L28" s="379"/>
      <c r="M28" s="855">
        <f t="shared" si="1"/>
        <v>0</v>
      </c>
      <c r="O28" s="322"/>
      <c r="P28" s="322"/>
      <c r="Q28" s="322"/>
      <c r="R28" s="322"/>
      <c r="S28" s="322"/>
      <c r="T28" s="322"/>
      <c r="U28" s="322"/>
      <c r="V28" s="322"/>
    </row>
    <row r="29" spans="2:22" ht="21" customHeight="1">
      <c r="B29" s="375"/>
      <c r="C29" s="375"/>
      <c r="D29" s="375"/>
      <c r="E29" s="375"/>
      <c r="F29" s="397"/>
      <c r="G29" s="376"/>
      <c r="H29" s="397"/>
      <c r="I29" s="376"/>
      <c r="J29" s="397"/>
      <c r="K29" s="376"/>
      <c r="L29" s="379"/>
      <c r="M29" s="855">
        <f t="shared" si="1"/>
        <v>0</v>
      </c>
      <c r="O29" s="322"/>
      <c r="P29" s="322"/>
      <c r="Q29" s="322"/>
      <c r="R29" s="322"/>
      <c r="S29" s="322"/>
      <c r="T29" s="322"/>
      <c r="U29" s="322"/>
      <c r="V29" s="322"/>
    </row>
    <row r="30" spans="2:22" ht="21" customHeight="1">
      <c r="B30" s="375"/>
      <c r="C30" s="375"/>
      <c r="D30" s="375"/>
      <c r="E30" s="375"/>
      <c r="F30" s="397"/>
      <c r="G30" s="376"/>
      <c r="H30" s="397"/>
      <c r="I30" s="376"/>
      <c r="J30" s="397"/>
      <c r="K30" s="376"/>
      <c r="L30" s="379"/>
      <c r="M30" s="855">
        <f t="shared" si="1"/>
        <v>0</v>
      </c>
      <c r="O30" s="322"/>
      <c r="P30" s="322"/>
      <c r="Q30" s="322"/>
      <c r="R30" s="322"/>
      <c r="S30" s="322"/>
      <c r="T30" s="322"/>
      <c r="U30" s="322"/>
      <c r="V30" s="322"/>
    </row>
    <row r="31" spans="2:22" ht="21" customHeight="1">
      <c r="B31" s="375"/>
      <c r="C31" s="375"/>
      <c r="D31" s="375"/>
      <c r="E31" s="375"/>
      <c r="F31" s="397"/>
      <c r="G31" s="376"/>
      <c r="H31" s="397"/>
      <c r="I31" s="376"/>
      <c r="J31" s="397"/>
      <c r="K31" s="376"/>
      <c r="L31" s="379"/>
      <c r="M31" s="855">
        <f t="shared" si="1"/>
        <v>0</v>
      </c>
      <c r="O31" s="322"/>
      <c r="P31" s="322"/>
      <c r="Q31" s="322"/>
      <c r="R31" s="322"/>
      <c r="S31" s="322"/>
      <c r="T31" s="322"/>
      <c r="U31" s="322"/>
      <c r="V31" s="322"/>
    </row>
    <row r="32" spans="2:22" ht="21" customHeight="1">
      <c r="B32" s="375"/>
      <c r="C32" s="375"/>
      <c r="D32" s="375"/>
      <c r="E32" s="375"/>
      <c r="F32" s="397"/>
      <c r="G32" s="376"/>
      <c r="H32" s="397"/>
      <c r="I32" s="376"/>
      <c r="J32" s="397"/>
      <c r="K32" s="376"/>
      <c r="L32" s="379"/>
      <c r="M32" s="855">
        <f t="shared" si="1"/>
        <v>0</v>
      </c>
      <c r="O32" s="322"/>
      <c r="P32" s="322"/>
      <c r="Q32" s="322"/>
      <c r="R32" s="322"/>
      <c r="S32" s="322"/>
      <c r="T32" s="322"/>
      <c r="U32" s="322"/>
      <c r="V32" s="322"/>
    </row>
    <row r="33" spans="2:22" ht="21" customHeight="1">
      <c r="B33" s="375"/>
      <c r="C33" s="375"/>
      <c r="D33" s="375"/>
      <c r="E33" s="375"/>
      <c r="F33" s="397"/>
      <c r="G33" s="376"/>
      <c r="H33" s="397"/>
      <c r="I33" s="376"/>
      <c r="J33" s="397"/>
      <c r="K33" s="376"/>
      <c r="L33" s="379"/>
      <c r="M33" s="855">
        <f t="shared" si="1"/>
        <v>0</v>
      </c>
      <c r="O33" s="322"/>
      <c r="P33" s="322"/>
      <c r="Q33" s="322"/>
      <c r="R33" s="322"/>
      <c r="S33" s="322"/>
      <c r="T33" s="322"/>
      <c r="U33" s="322"/>
      <c r="V33" s="322"/>
    </row>
    <row r="34" spans="2:22" ht="21" customHeight="1">
      <c r="B34" s="375"/>
      <c r="C34" s="375"/>
      <c r="D34" s="375"/>
      <c r="E34" s="375"/>
      <c r="F34" s="397"/>
      <c r="G34" s="376"/>
      <c r="H34" s="397"/>
      <c r="I34" s="376"/>
      <c r="J34" s="397"/>
      <c r="K34" s="376"/>
      <c r="L34" s="379"/>
      <c r="M34" s="855">
        <f t="shared" si="1"/>
        <v>0</v>
      </c>
      <c r="O34" s="322"/>
      <c r="P34" s="322"/>
      <c r="Q34" s="322"/>
      <c r="R34" s="322"/>
      <c r="S34" s="322"/>
      <c r="T34" s="322"/>
      <c r="U34" s="322"/>
      <c r="V34" s="322"/>
    </row>
    <row r="35" spans="2:22" ht="21" customHeight="1">
      <c r="B35" s="375"/>
      <c r="C35" s="375"/>
      <c r="D35" s="375"/>
      <c r="E35" s="375"/>
      <c r="F35" s="397"/>
      <c r="G35" s="376"/>
      <c r="H35" s="397"/>
      <c r="I35" s="376"/>
      <c r="J35" s="397"/>
      <c r="K35" s="376"/>
      <c r="L35" s="379"/>
      <c r="M35" s="855">
        <f t="shared" si="1"/>
        <v>0</v>
      </c>
    </row>
    <row r="36" spans="2:22" ht="21" customHeight="1">
      <c r="B36" s="375"/>
      <c r="C36" s="375"/>
      <c r="D36" s="375"/>
      <c r="E36" s="375"/>
      <c r="F36" s="397"/>
      <c r="G36" s="376"/>
      <c r="H36" s="397"/>
      <c r="I36" s="376"/>
      <c r="J36" s="397"/>
      <c r="K36" s="376"/>
      <c r="L36" s="379"/>
      <c r="M36" s="855">
        <f t="shared" si="1"/>
        <v>0</v>
      </c>
    </row>
    <row r="37" spans="2:22" s="322" customFormat="1" ht="21" customHeight="1">
      <c r="B37" s="375"/>
      <c r="C37" s="375"/>
      <c r="D37" s="375"/>
      <c r="E37" s="375"/>
      <c r="F37" s="397"/>
      <c r="G37" s="376"/>
      <c r="H37" s="397"/>
      <c r="I37" s="376"/>
      <c r="J37" s="397"/>
      <c r="K37" s="376"/>
      <c r="L37" s="379"/>
      <c r="M37" s="855">
        <f t="shared" si="1"/>
        <v>0</v>
      </c>
    </row>
    <row r="38" spans="2:22" s="322" customFormat="1" ht="21" customHeight="1">
      <c r="B38" s="375"/>
      <c r="C38" s="375"/>
      <c r="D38" s="375"/>
      <c r="E38" s="375"/>
      <c r="F38" s="397"/>
      <c r="G38" s="376"/>
      <c r="H38" s="397"/>
      <c r="I38" s="376"/>
      <c r="J38" s="397"/>
      <c r="K38" s="376"/>
      <c r="L38" s="379"/>
      <c r="M38" s="855">
        <f t="shared" si="1"/>
        <v>0</v>
      </c>
    </row>
    <row r="39" spans="2:22" s="322" customFormat="1" ht="21" customHeight="1">
      <c r="B39" s="375"/>
      <c r="C39" s="375"/>
      <c r="D39" s="375"/>
      <c r="E39" s="375"/>
      <c r="F39" s="397"/>
      <c r="G39" s="376"/>
      <c r="H39" s="397"/>
      <c r="I39" s="376"/>
      <c r="J39" s="397"/>
      <c r="K39" s="376"/>
      <c r="L39" s="379"/>
      <c r="M39" s="855">
        <f t="shared" si="1"/>
        <v>0</v>
      </c>
    </row>
    <row r="40" spans="2:22" s="322" customFormat="1" ht="21" customHeight="1">
      <c r="B40" s="375"/>
      <c r="C40" s="375"/>
      <c r="D40" s="375"/>
      <c r="E40" s="375"/>
      <c r="F40" s="397"/>
      <c r="G40" s="376"/>
      <c r="H40" s="397"/>
      <c r="I40" s="376"/>
      <c r="J40" s="397"/>
      <c r="K40" s="376"/>
      <c r="L40" s="379"/>
      <c r="M40" s="855">
        <f t="shared" si="1"/>
        <v>0</v>
      </c>
    </row>
    <row r="41" spans="2:22" s="322" customFormat="1" ht="21" customHeight="1">
      <c r="B41" s="375"/>
      <c r="C41" s="375"/>
      <c r="D41" s="375"/>
      <c r="E41" s="375"/>
      <c r="F41" s="397"/>
      <c r="G41" s="376"/>
      <c r="H41" s="397"/>
      <c r="I41" s="376"/>
      <c r="J41" s="397"/>
      <c r="K41" s="376"/>
      <c r="L41" s="379"/>
      <c r="M41" s="855">
        <f t="shared" si="1"/>
        <v>0</v>
      </c>
    </row>
    <row r="42" spans="2:22" s="322" customFormat="1" ht="21" customHeight="1">
      <c r="B42" s="375"/>
      <c r="C42" s="375"/>
      <c r="D42" s="375"/>
      <c r="E42" s="375"/>
      <c r="F42" s="397"/>
      <c r="G42" s="376"/>
      <c r="H42" s="397"/>
      <c r="I42" s="376"/>
      <c r="J42" s="397"/>
      <c r="K42" s="376"/>
      <c r="L42" s="379"/>
      <c r="M42" s="855">
        <f t="shared" si="1"/>
        <v>0</v>
      </c>
    </row>
    <row r="43" spans="2:22" s="322" customFormat="1" ht="21" customHeight="1">
      <c r="B43" s="375"/>
      <c r="C43" s="375"/>
      <c r="D43" s="375"/>
      <c r="E43" s="375"/>
      <c r="F43" s="397"/>
      <c r="G43" s="376"/>
      <c r="H43" s="397"/>
      <c r="I43" s="376"/>
      <c r="J43" s="397"/>
      <c r="K43" s="376"/>
      <c r="L43" s="379"/>
      <c r="M43" s="855">
        <f t="shared" si="1"/>
        <v>0</v>
      </c>
    </row>
    <row r="44" spans="2:22" s="322" customFormat="1" ht="21" customHeight="1">
      <c r="B44" s="375"/>
      <c r="C44" s="375"/>
      <c r="D44" s="375"/>
      <c r="E44" s="375"/>
      <c r="F44" s="397"/>
      <c r="G44" s="376"/>
      <c r="H44" s="397"/>
      <c r="I44" s="376"/>
      <c r="J44" s="397"/>
      <c r="K44" s="376"/>
      <c r="L44" s="379"/>
      <c r="M44" s="855">
        <f t="shared" si="1"/>
        <v>0</v>
      </c>
    </row>
    <row r="45" spans="2:22" ht="21" customHeight="1">
      <c r="B45" s="375"/>
      <c r="C45" s="375"/>
      <c r="D45" s="375"/>
      <c r="E45" s="375"/>
      <c r="F45" s="397"/>
      <c r="G45" s="376"/>
      <c r="H45" s="397"/>
      <c r="I45" s="376"/>
      <c r="J45" s="397"/>
      <c r="K45" s="376"/>
      <c r="L45" s="379"/>
      <c r="M45" s="855">
        <f t="shared" si="1"/>
        <v>0</v>
      </c>
    </row>
    <row r="46" spans="2:22" ht="21" customHeight="1">
      <c r="B46" s="375"/>
      <c r="C46" s="375"/>
      <c r="D46" s="375"/>
      <c r="E46" s="375"/>
      <c r="F46" s="397"/>
      <c r="G46" s="376"/>
      <c r="H46" s="397"/>
      <c r="I46" s="376"/>
      <c r="J46" s="397"/>
      <c r="K46" s="376"/>
      <c r="L46" s="379"/>
      <c r="M46" s="855">
        <f t="shared" si="1"/>
        <v>0</v>
      </c>
    </row>
    <row r="47" spans="2:22" ht="21" customHeight="1">
      <c r="B47" s="666"/>
      <c r="C47" s="375"/>
      <c r="D47" s="375"/>
      <c r="E47" s="375"/>
      <c r="F47" s="397"/>
      <c r="G47" s="376"/>
      <c r="H47" s="397"/>
      <c r="I47" s="376"/>
      <c r="J47" s="397"/>
      <c r="K47" s="376"/>
      <c r="L47" s="379"/>
      <c r="M47" s="855">
        <f t="shared" si="1"/>
        <v>0</v>
      </c>
    </row>
    <row r="48" spans="2:22" ht="21" customHeight="1">
      <c r="B48" s="286"/>
      <c r="C48" s="286"/>
      <c r="D48" s="151" t="s">
        <v>3538</v>
      </c>
      <c r="E48" s="286"/>
      <c r="F48" s="322" t="s">
        <v>482</v>
      </c>
      <c r="G48" s="160">
        <f>SUM(G10:G47)</f>
        <v>2842145.7200000007</v>
      </c>
      <c r="H48" s="322" t="s">
        <v>482</v>
      </c>
      <c r="I48" s="160">
        <f>SUM(I10:I47)</f>
        <v>8873567.6899999995</v>
      </c>
      <c r="J48" s="322" t="s">
        <v>482</v>
      </c>
      <c r="K48" s="160">
        <f>SUM(K10:K47)</f>
        <v>8562204.4100000001</v>
      </c>
      <c r="L48" s="322" t="s">
        <v>482</v>
      </c>
      <c r="M48" s="855">
        <f>SUM(M10:M47)</f>
        <v>3153509</v>
      </c>
    </row>
    <row r="50" spans="2:13" ht="13.8">
      <c r="B50" s="1507" t="s">
        <v>547</v>
      </c>
      <c r="C50" s="1507"/>
      <c r="D50" s="1507"/>
      <c r="E50" s="1507"/>
      <c r="F50" s="1507"/>
      <c r="G50" s="1507"/>
      <c r="H50" s="1507"/>
      <c r="I50" s="1507"/>
      <c r="J50" s="1507"/>
      <c r="K50" s="1507"/>
      <c r="L50" s="1507"/>
      <c r="M50" s="1507"/>
    </row>
    <row r="52" spans="2:13">
      <c r="G52" s="228"/>
      <c r="M52" s="228"/>
    </row>
  </sheetData>
  <sheetProtection algorithmName="SHA-512" hashValue="L2tdBn4IXAYAqT61G1VaWFnQNip9ycRje5Ee6L1kzYNbolLFdyMgqAGSq6GWai1Y2jvriKL2p8ZZpeAKU7ZcNA==" saltValue="+HagX8ZX3KJk+SjF+2oJTA==" spinCount="100000" sheet="1" scenarios="1"/>
  <customSheetViews>
    <customSheetView guid="{AC653BD0-46E3-42CB-9C76-32121A57B65A}">
      <selection activeCell="B1" sqref="B1"/>
      <pageMargins left="0.25" right="0.25" top="0.5" bottom="0.5" header="0.25" footer="0.25"/>
      <pageSetup paperSize="5" scale="98" orientation="portrait" r:id="rId1"/>
      <headerFooter alignWithMargins="0"/>
    </customSheetView>
    <customSheetView guid="{B165479B-DC25-403C-9595-F1A88A4AA9A2}" topLeftCell="A7">
      <selection activeCell="O20" sqref="O20"/>
      <pageMargins left="0.25" right="0.25" top="0.5" bottom="0.5" header="0.25" footer="0.25"/>
      <pageSetup paperSize="5" scale="98" orientation="portrait" r:id="rId2"/>
      <headerFooter alignWithMargins="0"/>
    </customSheetView>
    <customSheetView guid="{A64E4C9E-A3DA-4AAA-8607-F524450B9436}" topLeftCell="A7">
      <selection activeCell="O20" sqref="O20"/>
      <pageMargins left="0.25" right="0.25" top="0.5" bottom="0.5" header="0.25" footer="0.25"/>
      <pageSetup paperSize="5" scale="98" orientation="portrait" r:id="rId3"/>
      <headerFooter alignWithMargins="0"/>
    </customSheetView>
    <customSheetView guid="{AB4FBD91-4533-473A-9702-569FF6402073}" topLeftCell="A37">
      <selection activeCell="O14" sqref="O14"/>
      <pageMargins left="0.25" right="0.25" top="0.5" bottom="0.5" header="0.25" footer="0.25"/>
      <pageSetup paperSize="5" scale="98" orientation="portrait" r:id="rId4"/>
      <headerFooter alignWithMargins="0"/>
    </customSheetView>
  </customSheetViews>
  <mergeCells count="6">
    <mergeCell ref="B50:M50"/>
    <mergeCell ref="B5:D5"/>
    <mergeCell ref="B8:D8"/>
    <mergeCell ref="B2:M2"/>
    <mergeCell ref="B3:M3"/>
    <mergeCell ref="B6:D6"/>
  </mergeCells>
  <phoneticPr fontId="0" type="noConversion"/>
  <pageMargins left="0.25" right="0.25" top="0.5" bottom="0.5" header="0.25" footer="0.25"/>
  <pageSetup paperSize="5" orientation="portrait" r:id="rId5"/>
  <headerFooter alignWithMargins="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09">
    <tabColor theme="5" tint="0.59999389629810485"/>
  </sheetPr>
  <dimension ref="B3:T69"/>
  <sheetViews>
    <sheetView zoomScaleNormal="100" zoomScaleSheetLayoutView="80" workbookViewId="0">
      <selection activeCell="B1" sqref="B1"/>
    </sheetView>
  </sheetViews>
  <sheetFormatPr defaultColWidth="9.109375" defaultRowHeight="13.2"/>
  <cols>
    <col min="1" max="4" width="4.6640625" style="331" customWidth="1"/>
    <col min="5" max="8" width="9.109375" style="331"/>
    <col min="9" max="9" width="1.6640625" style="331" customWidth="1"/>
    <col min="10" max="10" width="16.6640625" style="331" customWidth="1"/>
    <col min="11" max="11" width="1.6640625" style="331" customWidth="1"/>
    <col min="12" max="12" width="16.6640625" style="331" customWidth="1"/>
    <col min="13" max="16384" width="9.109375" style="331"/>
  </cols>
  <sheetData>
    <row r="3" spans="2:20" ht="17.399999999999999">
      <c r="B3" s="1811" t="str">
        <f>"SCHEDULE  OF "&amp;UPPER('KEY INPUTS'!D54&amp;"  UTILITY  ACCOUNTS  RECEIVABLE")</f>
        <v>SCHEDULE  OF   UTILITY  ACCOUNTS  RECEIVABLE</v>
      </c>
      <c r="C3" s="1811"/>
      <c r="D3" s="1811"/>
      <c r="E3" s="1811"/>
      <c r="F3" s="1811"/>
      <c r="G3" s="1811"/>
      <c r="H3" s="1811"/>
      <c r="I3" s="1811"/>
      <c r="J3" s="1811"/>
      <c r="K3" s="1811"/>
      <c r="L3" s="1811"/>
    </row>
    <row r="6" spans="2:20">
      <c r="B6" s="480" t="str">
        <f>"Balance December 31, "&amp;'KEY INPUTS'!D35</f>
        <v>Balance December 31, 2018</v>
      </c>
      <c r="J6" s="287"/>
      <c r="K6" s="331" t="s">
        <v>482</v>
      </c>
      <c r="L6" s="580"/>
      <c r="N6" s="322"/>
      <c r="O6" s="322"/>
      <c r="P6" s="322"/>
      <c r="Q6" s="322"/>
      <c r="R6" s="322"/>
      <c r="S6" s="322"/>
      <c r="T6" s="322"/>
    </row>
    <row r="7" spans="2:20">
      <c r="J7" s="287"/>
      <c r="K7" s="287"/>
      <c r="L7" s="287"/>
      <c r="N7" s="322"/>
      <c r="O7" s="322"/>
      <c r="P7" s="322"/>
      <c r="Q7" s="322"/>
      <c r="R7" s="322"/>
      <c r="S7" s="322"/>
      <c r="T7" s="322"/>
    </row>
    <row r="8" spans="2:20">
      <c r="J8" s="287"/>
      <c r="K8" s="287"/>
      <c r="L8" s="287"/>
      <c r="N8" s="377"/>
      <c r="O8" s="322"/>
      <c r="P8" s="322"/>
      <c r="Q8" s="322"/>
      <c r="R8" s="322"/>
      <c r="S8" s="322"/>
      <c r="T8" s="322"/>
    </row>
    <row r="9" spans="2:20">
      <c r="J9" s="287"/>
      <c r="K9" s="287"/>
      <c r="L9" s="287"/>
      <c r="N9" s="322"/>
      <c r="O9" s="322"/>
      <c r="P9" s="322"/>
      <c r="Q9" s="322"/>
      <c r="R9" s="322"/>
      <c r="S9" s="322"/>
      <c r="T9" s="322"/>
    </row>
    <row r="10" spans="2:20">
      <c r="B10" s="331" t="s">
        <v>276</v>
      </c>
      <c r="J10" s="287"/>
      <c r="K10" s="287"/>
      <c r="L10" s="287"/>
      <c r="N10" s="322"/>
      <c r="O10" s="322"/>
      <c r="P10" s="322"/>
      <c r="Q10" s="322"/>
      <c r="R10" s="322"/>
      <c r="S10" s="322"/>
      <c r="T10" s="322"/>
    </row>
    <row r="11" spans="2:20">
      <c r="D11" s="1192" t="s">
        <v>3783</v>
      </c>
      <c r="E11" s="1192"/>
      <c r="F11" s="1192"/>
      <c r="G11" s="1114"/>
      <c r="J11" s="287"/>
      <c r="K11" s="331" t="s">
        <v>482</v>
      </c>
      <c r="L11" s="580"/>
      <c r="N11" s="322"/>
      <c r="O11" s="322"/>
      <c r="P11" s="322"/>
      <c r="Q11" s="322"/>
      <c r="R11" s="322"/>
      <c r="S11" s="322"/>
      <c r="T11" s="322"/>
    </row>
    <row r="12" spans="2:20">
      <c r="J12" s="287"/>
      <c r="K12" s="287"/>
      <c r="L12" s="287"/>
      <c r="N12" s="322"/>
      <c r="O12" s="322"/>
      <c r="P12" s="322"/>
      <c r="Q12" s="322"/>
      <c r="R12" s="322"/>
      <c r="S12" s="322"/>
      <c r="T12" s="322"/>
    </row>
    <row r="13" spans="2:20">
      <c r="J13" s="287"/>
      <c r="K13" s="287"/>
      <c r="L13" s="287"/>
      <c r="N13" s="322"/>
      <c r="O13" s="322"/>
      <c r="P13" s="322"/>
      <c r="Q13" s="322"/>
      <c r="R13" s="322"/>
      <c r="S13" s="322"/>
      <c r="T13" s="322"/>
    </row>
    <row r="14" spans="2:20">
      <c r="J14" s="287"/>
      <c r="K14" s="287"/>
      <c r="L14" s="287"/>
      <c r="N14" s="322"/>
      <c r="O14" s="322"/>
      <c r="P14" s="322"/>
      <c r="Q14" s="322"/>
      <c r="R14" s="322"/>
      <c r="S14" s="322"/>
      <c r="T14" s="322"/>
    </row>
    <row r="15" spans="2:20">
      <c r="B15" s="331" t="s">
        <v>277</v>
      </c>
      <c r="J15" s="287"/>
      <c r="K15" s="287"/>
      <c r="L15" s="287"/>
      <c r="N15" s="322"/>
      <c r="O15" s="322"/>
      <c r="P15" s="322"/>
      <c r="Q15" s="322"/>
      <c r="R15" s="322"/>
      <c r="S15" s="322"/>
      <c r="T15" s="322"/>
    </row>
    <row r="16" spans="2:20" ht="21" customHeight="1">
      <c r="D16" s="331" t="s">
        <v>278</v>
      </c>
      <c r="I16" s="331" t="s">
        <v>482</v>
      </c>
      <c r="J16" s="580"/>
      <c r="K16" s="287"/>
      <c r="L16" s="287"/>
      <c r="N16" s="322"/>
      <c r="O16" s="322"/>
      <c r="P16" s="322"/>
      <c r="Q16" s="322"/>
      <c r="R16" s="322"/>
      <c r="S16" s="322"/>
      <c r="T16" s="322"/>
    </row>
    <row r="17" spans="2:20" ht="21" customHeight="1">
      <c r="D17" s="331" t="s">
        <v>279</v>
      </c>
      <c r="I17" s="331" t="s">
        <v>482</v>
      </c>
      <c r="J17" s="580"/>
      <c r="K17" s="287"/>
      <c r="L17" s="287"/>
      <c r="N17" s="322"/>
      <c r="O17" s="322"/>
      <c r="P17" s="322"/>
      <c r="Q17" s="322"/>
      <c r="R17" s="322"/>
      <c r="S17" s="322"/>
      <c r="T17" s="322"/>
    </row>
    <row r="18" spans="2:20" ht="21" customHeight="1">
      <c r="D18" s="1114" t="s">
        <v>3784</v>
      </c>
      <c r="E18" s="1114"/>
      <c r="F18" s="1192"/>
      <c r="G18" s="1192"/>
      <c r="I18" s="331" t="s">
        <v>482</v>
      </c>
      <c r="J18" s="580"/>
      <c r="K18" s="287"/>
      <c r="L18" s="287"/>
      <c r="N18" s="322"/>
      <c r="O18" s="322"/>
      <c r="P18" s="322"/>
      <c r="Q18" s="322"/>
      <c r="R18" s="322"/>
      <c r="S18" s="322"/>
      <c r="T18" s="322"/>
    </row>
    <row r="19" spans="2:20" ht="21" customHeight="1">
      <c r="D19" s="331" t="s">
        <v>280</v>
      </c>
      <c r="I19" s="331" t="s">
        <v>482</v>
      </c>
      <c r="J19" s="580"/>
      <c r="K19" s="287"/>
      <c r="L19" s="287"/>
      <c r="N19" s="322"/>
      <c r="O19" s="322"/>
      <c r="P19" s="322"/>
      <c r="Q19" s="322"/>
      <c r="R19" s="322"/>
      <c r="S19" s="322"/>
      <c r="T19" s="322"/>
    </row>
    <row r="20" spans="2:20">
      <c r="J20" s="287"/>
      <c r="K20" s="287"/>
      <c r="L20" s="287"/>
      <c r="N20" s="322"/>
      <c r="O20" s="322"/>
      <c r="P20" s="322"/>
      <c r="Q20" s="322"/>
      <c r="R20" s="322"/>
      <c r="S20" s="322"/>
      <c r="T20" s="322"/>
    </row>
    <row r="21" spans="2:20">
      <c r="J21" s="287"/>
      <c r="K21" s="331" t="s">
        <v>482</v>
      </c>
      <c r="L21" s="67">
        <f>SUM(J16:J19)</f>
        <v>0</v>
      </c>
      <c r="N21" s="322"/>
      <c r="O21" s="322"/>
      <c r="P21" s="322"/>
      <c r="Q21" s="322"/>
      <c r="R21" s="322"/>
      <c r="S21" s="322"/>
      <c r="T21" s="322"/>
    </row>
    <row r="22" spans="2:20">
      <c r="J22" s="287"/>
      <c r="K22" s="287"/>
      <c r="L22" s="287"/>
      <c r="N22" s="322"/>
      <c r="O22" s="322"/>
      <c r="P22" s="322"/>
      <c r="Q22" s="322"/>
      <c r="R22" s="322"/>
      <c r="S22" s="322"/>
      <c r="T22" s="322"/>
    </row>
    <row r="23" spans="2:20">
      <c r="J23" s="287"/>
      <c r="K23" s="287"/>
      <c r="L23" s="287"/>
    </row>
    <row r="24" spans="2:20" ht="13.8" thickBot="1">
      <c r="B24" s="478" t="str">
        <f>"Balance December 31, "&amp;'KEY INPUTS'!D34</f>
        <v>Balance December 31, 2019</v>
      </c>
      <c r="J24" s="287"/>
      <c r="K24" s="331" t="s">
        <v>482</v>
      </c>
      <c r="L24" s="84">
        <f>+L6+L11-L21</f>
        <v>0</v>
      </c>
    </row>
    <row r="25" spans="2:20" ht="13.8" thickTop="1"/>
    <row r="28" spans="2:20">
      <c r="B28" s="479"/>
      <c r="C28" s="479"/>
      <c r="D28" s="479"/>
      <c r="E28" s="479"/>
      <c r="F28" s="479"/>
      <c r="G28" s="479"/>
      <c r="H28" s="479"/>
      <c r="I28" s="479"/>
      <c r="J28" s="479"/>
      <c r="K28" s="479"/>
      <c r="L28" s="479"/>
    </row>
    <row r="29" spans="2:20" ht="4.5" customHeight="1">
      <c r="B29" s="479"/>
      <c r="C29" s="479"/>
      <c r="D29" s="479"/>
      <c r="E29" s="479"/>
      <c r="F29" s="479"/>
      <c r="G29" s="479"/>
      <c r="H29" s="479"/>
      <c r="I29" s="479"/>
      <c r="J29" s="479"/>
      <c r="K29" s="479"/>
      <c r="L29" s="479"/>
    </row>
    <row r="33" spans="2:12" ht="17.399999999999999">
      <c r="B33" s="1805" t="str">
        <f>"SCHEDULE  OF "&amp;UPPER('KEY INPUTS'!D54)&amp;" UTILITY  LIENS"</f>
        <v>SCHEDULE  OF  UTILITY  LIENS</v>
      </c>
      <c r="C33" s="1805"/>
      <c r="D33" s="1805"/>
      <c r="E33" s="1805"/>
      <c r="F33" s="1805"/>
      <c r="G33" s="1805"/>
      <c r="H33" s="1805"/>
      <c r="I33" s="1805"/>
      <c r="J33" s="1805"/>
      <c r="K33" s="1805"/>
      <c r="L33" s="1805"/>
    </row>
    <row r="36" spans="2:12">
      <c r="B36" s="478" t="str">
        <f>"Balance December 31, "&amp;'KEY INPUTS'!D35</f>
        <v>Balance December 31, 2018</v>
      </c>
      <c r="I36" s="287"/>
      <c r="J36" s="287"/>
      <c r="K36" s="287" t="s">
        <v>482</v>
      </c>
      <c r="L36" s="580"/>
    </row>
    <row r="37" spans="2:12">
      <c r="I37" s="287"/>
      <c r="J37" s="287"/>
      <c r="K37" s="287"/>
      <c r="L37" s="287"/>
    </row>
    <row r="38" spans="2:12">
      <c r="I38" s="287"/>
      <c r="J38" s="287"/>
      <c r="K38" s="287"/>
      <c r="L38" s="287"/>
    </row>
    <row r="39" spans="2:12">
      <c r="I39" s="287"/>
      <c r="J39" s="287"/>
      <c r="K39" s="287"/>
      <c r="L39" s="287"/>
    </row>
    <row r="40" spans="2:12">
      <c r="B40" s="331" t="s">
        <v>276</v>
      </c>
      <c r="I40" s="287"/>
      <c r="J40" s="287"/>
      <c r="K40" s="287"/>
      <c r="L40" s="287"/>
    </row>
    <row r="41" spans="2:12" ht="21" customHeight="1">
      <c r="D41" s="331" t="s">
        <v>281</v>
      </c>
      <c r="I41" s="331" t="s">
        <v>482</v>
      </c>
      <c r="J41" s="580"/>
      <c r="K41" s="287"/>
      <c r="L41" s="287"/>
    </row>
    <row r="42" spans="2:12" ht="21" customHeight="1">
      <c r="D42" s="331" t="s">
        <v>282</v>
      </c>
      <c r="I42" s="331" t="s">
        <v>482</v>
      </c>
      <c r="J42" s="580"/>
      <c r="K42" s="287"/>
      <c r="L42" s="287"/>
    </row>
    <row r="43" spans="2:12" ht="21" customHeight="1">
      <c r="D43" s="331" t="s">
        <v>280</v>
      </c>
      <c r="I43" s="331" t="s">
        <v>482</v>
      </c>
      <c r="J43" s="580"/>
      <c r="K43" s="125"/>
      <c r="L43" s="125"/>
    </row>
    <row r="44" spans="2:12">
      <c r="I44" s="287"/>
      <c r="J44" s="287"/>
      <c r="K44" s="287"/>
      <c r="L44" s="287"/>
    </row>
    <row r="45" spans="2:12">
      <c r="I45" s="287"/>
      <c r="J45" s="287"/>
      <c r="K45" s="331" t="s">
        <v>482</v>
      </c>
      <c r="L45" s="67">
        <f>SUM(J41:J43)</f>
        <v>0</v>
      </c>
    </row>
    <row r="46" spans="2:12">
      <c r="I46" s="287"/>
      <c r="J46" s="287"/>
      <c r="K46" s="287"/>
      <c r="L46" s="287"/>
    </row>
    <row r="47" spans="2:12">
      <c r="B47" s="331" t="s">
        <v>277</v>
      </c>
      <c r="I47" s="287"/>
      <c r="J47" s="287"/>
      <c r="K47" s="287"/>
      <c r="L47" s="287"/>
    </row>
    <row r="48" spans="2:12" ht="21" customHeight="1">
      <c r="D48" s="331" t="s">
        <v>278</v>
      </c>
      <c r="I48" s="331" t="s">
        <v>482</v>
      </c>
      <c r="J48" s="580"/>
      <c r="K48" s="287"/>
      <c r="L48" s="287"/>
    </row>
    <row r="49" spans="2:12" ht="21" customHeight="1">
      <c r="D49" s="331" t="s">
        <v>280</v>
      </c>
      <c r="I49" s="331" t="s">
        <v>482</v>
      </c>
      <c r="J49" s="580"/>
      <c r="K49" s="287"/>
      <c r="L49" s="287"/>
    </row>
    <row r="50" spans="2:12">
      <c r="I50" s="287"/>
      <c r="J50" s="287"/>
      <c r="K50" s="287"/>
      <c r="L50" s="287"/>
    </row>
    <row r="51" spans="2:12">
      <c r="I51" s="287"/>
      <c r="J51" s="287"/>
      <c r="K51" s="331" t="s">
        <v>482</v>
      </c>
      <c r="L51" s="67">
        <f>+J49+J48</f>
        <v>0</v>
      </c>
    </row>
    <row r="52" spans="2:12">
      <c r="I52" s="287"/>
      <c r="J52" s="287"/>
      <c r="K52" s="287"/>
      <c r="L52" s="287"/>
    </row>
    <row r="53" spans="2:12">
      <c r="I53" s="287"/>
      <c r="J53" s="287"/>
      <c r="K53" s="287"/>
      <c r="L53" s="287"/>
    </row>
    <row r="54" spans="2:12" ht="13.8" thickBot="1">
      <c r="B54" s="478" t="str">
        <f>"Balance December 31, "&amp;'KEY INPUTS'!D34</f>
        <v>Balance December 31, 2019</v>
      </c>
      <c r="I54" s="287"/>
      <c r="J54" s="287"/>
      <c r="K54" s="331" t="s">
        <v>482</v>
      </c>
      <c r="L54" s="84">
        <f>+L36+L45-L51</f>
        <v>0</v>
      </c>
    </row>
    <row r="55" spans="2:12" ht="13.8" thickTop="1">
      <c r="I55" s="287"/>
      <c r="J55" s="287"/>
      <c r="K55" s="287"/>
      <c r="L55" s="287"/>
    </row>
    <row r="69" spans="2:12" ht="13.8">
      <c r="B69" s="1812" t="s">
        <v>3442</v>
      </c>
      <c r="C69" s="1812"/>
      <c r="D69" s="1812"/>
      <c r="E69" s="1812"/>
      <c r="F69" s="1812"/>
      <c r="G69" s="1812"/>
      <c r="H69" s="1812"/>
      <c r="I69" s="1812"/>
      <c r="J69" s="1812"/>
      <c r="K69" s="1812"/>
      <c r="L69" s="1812"/>
    </row>
  </sheetData>
  <sheetProtection algorithmName="SHA-512" hashValue="lmHgY3MKRwijXamjq4E2TgSGVM1i+ZUnT/vumBwVvn9DDazKMAERoB9mLMtosAbD8Pr0GdQ07F8WTpoDjTc9Xg==" saltValue="zLMr7sWyxOPm284Ax8W5K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
    <mergeCell ref="B3:L3"/>
    <mergeCell ref="B33:L33"/>
    <mergeCell ref="B69:L69"/>
  </mergeCells>
  <pageMargins left="0.25" right="0.25" top="0.5" bottom="0.5" header="0.25" footer="0.25"/>
  <pageSetup paperSize="5" orientation="portrait" r:id="rId5"/>
  <headerFooter alignWithMargins="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0">
    <tabColor theme="5" tint="0.59999389629810485"/>
  </sheetPr>
  <dimension ref="B1:W69"/>
  <sheetViews>
    <sheetView zoomScaleNormal="100" zoomScaleSheetLayoutView="80" workbookViewId="0">
      <selection activeCell="N23" sqref="N23"/>
    </sheetView>
  </sheetViews>
  <sheetFormatPr defaultColWidth="9.109375" defaultRowHeight="13.2"/>
  <cols>
    <col min="1" max="4" width="4.6640625" style="331" customWidth="1"/>
    <col min="5" max="6" width="9.109375" style="331"/>
    <col min="7" max="7" width="1.6640625" style="331" customWidth="1"/>
    <col min="8" max="8" width="14.6640625" style="331" customWidth="1"/>
    <col min="9" max="9" width="1.6640625" style="331" customWidth="1"/>
    <col min="10" max="10" width="14.6640625" style="331" customWidth="1"/>
    <col min="11" max="11" width="1.6640625" style="331" customWidth="1"/>
    <col min="12" max="12" width="14.6640625" style="331" customWidth="1"/>
    <col min="13" max="13" width="1.6640625" style="331" customWidth="1"/>
    <col min="14" max="14" width="14.6640625" style="331" customWidth="1"/>
    <col min="15" max="16384" width="9.109375" style="331"/>
  </cols>
  <sheetData>
    <row r="1" spans="2:23">
      <c r="B1" s="1146"/>
      <c r="C1" s="1146"/>
      <c r="D1" s="1146"/>
      <c r="E1" s="1146"/>
      <c r="F1" s="1146"/>
      <c r="G1" s="1146"/>
      <c r="H1" s="1146"/>
      <c r="I1" s="1146"/>
      <c r="J1" s="1146"/>
      <c r="K1" s="1146"/>
      <c r="L1" s="1146"/>
      <c r="M1" s="1146"/>
      <c r="N1" s="1146"/>
    </row>
    <row r="2" spans="2:23">
      <c r="B2" s="1146"/>
      <c r="C2" s="1146"/>
      <c r="D2" s="1146"/>
      <c r="E2" s="1146"/>
      <c r="F2" s="1146"/>
      <c r="G2" s="1146"/>
      <c r="H2" s="1146"/>
      <c r="I2" s="1146"/>
      <c r="J2" s="1146"/>
      <c r="K2" s="1146"/>
      <c r="L2" s="1146"/>
      <c r="M2" s="1146"/>
      <c r="N2" s="1146"/>
    </row>
    <row r="3" spans="2:23" ht="20.399999999999999">
      <c r="B3" s="1870" t="s">
        <v>1129</v>
      </c>
      <c r="C3" s="1870"/>
      <c r="D3" s="1870"/>
      <c r="E3" s="1870"/>
      <c r="F3" s="1870"/>
      <c r="G3" s="1870"/>
      <c r="H3" s="1870"/>
      <c r="I3" s="1870"/>
      <c r="J3" s="1870"/>
      <c r="K3" s="1870"/>
      <c r="L3" s="1870"/>
      <c r="M3" s="1870"/>
      <c r="N3" s="1870"/>
    </row>
    <row r="4" spans="2:23" ht="15.6">
      <c r="B4" s="1928" t="s">
        <v>540</v>
      </c>
      <c r="C4" s="1928"/>
      <c r="D4" s="1928"/>
      <c r="E4" s="1928"/>
      <c r="F4" s="1928"/>
      <c r="G4" s="1928"/>
      <c r="H4" s="1928"/>
      <c r="I4" s="1928"/>
      <c r="J4" s="1928"/>
      <c r="K4" s="1928"/>
      <c r="L4" s="1928"/>
      <c r="M4" s="1928"/>
      <c r="N4" s="1928"/>
    </row>
    <row r="5" spans="2:23" ht="20.399999999999999">
      <c r="B5" s="1788" t="str">
        <f>UPPER('KEY INPUTS'!D54)&amp;" UTILITY  FUND"</f>
        <v xml:space="preserve"> UTILITY  FUND</v>
      </c>
      <c r="C5" s="1788"/>
      <c r="D5" s="1788"/>
      <c r="E5" s="1788"/>
      <c r="F5" s="1788"/>
      <c r="G5" s="1788"/>
      <c r="H5" s="1788"/>
      <c r="I5" s="1788"/>
      <c r="J5" s="1788"/>
      <c r="K5" s="1788"/>
      <c r="L5" s="1788"/>
      <c r="M5" s="1788"/>
      <c r="N5" s="1788"/>
    </row>
    <row r="6" spans="2:23">
      <c r="B6" s="1929" t="s">
        <v>283</v>
      </c>
      <c r="C6" s="1929"/>
      <c r="D6" s="1929"/>
      <c r="E6" s="1929"/>
      <c r="F6" s="1929"/>
      <c r="G6" s="1929"/>
      <c r="H6" s="1929"/>
      <c r="I6" s="1929"/>
      <c r="J6" s="1929"/>
      <c r="K6" s="1929"/>
      <c r="L6" s="1929"/>
      <c r="M6" s="1929"/>
      <c r="N6" s="1929"/>
    </row>
    <row r="7" spans="2:23">
      <c r="B7" s="1146"/>
      <c r="C7" s="1146"/>
      <c r="D7" s="1146"/>
      <c r="E7" s="1146"/>
      <c r="F7" s="1146"/>
      <c r="G7" s="1146"/>
      <c r="H7" s="1146"/>
      <c r="I7" s="1146"/>
      <c r="J7" s="1146"/>
      <c r="K7" s="1146"/>
      <c r="L7" s="1146"/>
      <c r="M7" s="1146"/>
      <c r="N7" s="1146"/>
    </row>
    <row r="8" spans="2:23">
      <c r="B8" s="1146"/>
      <c r="C8" s="1146"/>
      <c r="D8" s="1146"/>
      <c r="E8" s="1146"/>
      <c r="F8" s="1146"/>
      <c r="G8" s="1146"/>
      <c r="H8" s="1141" t="s">
        <v>533</v>
      </c>
      <c r="I8" s="1146"/>
      <c r="J8" s="1146"/>
      <c r="K8" s="1146"/>
      <c r="L8" s="1146"/>
      <c r="M8" s="1146"/>
      <c r="N8" s="1146"/>
    </row>
    <row r="9" spans="2:23">
      <c r="B9" s="1146"/>
      <c r="C9" s="1930" t="s">
        <v>553</v>
      </c>
      <c r="D9" s="1930"/>
      <c r="E9" s="1930"/>
      <c r="F9" s="1146"/>
      <c r="G9" s="1146"/>
      <c r="H9" s="1344" t="str">
        <f>'KEY INPUTS'!D45</f>
        <v>Dec. 31, 2018</v>
      </c>
      <c r="I9" s="1146"/>
      <c r="J9" s="1141" t="s">
        <v>554</v>
      </c>
      <c r="K9" s="1146"/>
      <c r="L9" s="1141" t="s">
        <v>533</v>
      </c>
      <c r="M9" s="1146"/>
      <c r="N9" s="1141" t="s">
        <v>671</v>
      </c>
    </row>
    <row r="10" spans="2:23">
      <c r="B10" s="1146"/>
      <c r="C10" s="1146"/>
      <c r="D10" s="1146"/>
      <c r="E10" s="1146"/>
      <c r="F10" s="1146"/>
      <c r="G10" s="1146"/>
      <c r="H10" s="1141" t="s">
        <v>552</v>
      </c>
      <c r="I10" s="1146"/>
      <c r="J10" s="1141">
        <f>'KEY INPUTS'!D34</f>
        <v>2019</v>
      </c>
      <c r="K10" s="1146"/>
      <c r="L10" s="1141" t="s">
        <v>555</v>
      </c>
      <c r="M10" s="1146"/>
      <c r="N10" s="1141" t="s">
        <v>556</v>
      </c>
    </row>
    <row r="11" spans="2:23">
      <c r="B11" s="1146"/>
      <c r="C11" s="1146"/>
      <c r="D11" s="1146"/>
      <c r="E11" s="1146"/>
      <c r="F11" s="1146"/>
      <c r="G11" s="1146"/>
      <c r="H11" s="1345" t="s">
        <v>551</v>
      </c>
      <c r="I11" s="1146"/>
      <c r="J11" s="1345" t="s">
        <v>676</v>
      </c>
      <c r="K11" s="1146"/>
      <c r="L11" s="1345">
        <f>'KEY INPUTS'!D34</f>
        <v>2019</v>
      </c>
      <c r="M11" s="1146"/>
      <c r="N11" s="1346" t="str">
        <f>'KEY INPUTS'!D46</f>
        <v>Dec. 31, 2019</v>
      </c>
      <c r="Q11" s="322"/>
      <c r="R11" s="322"/>
      <c r="S11" s="322"/>
      <c r="T11" s="322"/>
      <c r="U11" s="322"/>
      <c r="V11" s="322"/>
      <c r="W11" s="322"/>
    </row>
    <row r="12" spans="2:23">
      <c r="B12" s="1347" t="s">
        <v>384</v>
      </c>
      <c r="C12" s="1146" t="s">
        <v>1130</v>
      </c>
      <c r="D12" s="1146"/>
      <c r="E12" s="1146"/>
      <c r="F12" s="1146"/>
      <c r="G12" s="1146"/>
      <c r="H12" s="1146"/>
      <c r="I12" s="1146"/>
      <c r="J12" s="1146"/>
      <c r="K12" s="1146"/>
      <c r="L12" s="1146"/>
      <c r="M12" s="1146"/>
      <c r="N12" s="1146"/>
      <c r="Q12" s="322"/>
      <c r="R12" s="322"/>
      <c r="S12" s="322"/>
      <c r="T12" s="322"/>
      <c r="U12" s="322"/>
      <c r="V12" s="322"/>
      <c r="W12" s="322"/>
    </row>
    <row r="13" spans="2:23">
      <c r="B13" s="481"/>
      <c r="D13" s="331" t="s">
        <v>1131</v>
      </c>
      <c r="G13" s="331" t="s">
        <v>482</v>
      </c>
      <c r="H13" s="580"/>
      <c r="I13" s="331" t="s">
        <v>482</v>
      </c>
      <c r="J13" s="580"/>
      <c r="K13" s="331" t="s">
        <v>482</v>
      </c>
      <c r="L13" s="580"/>
      <c r="M13" s="331" t="s">
        <v>482</v>
      </c>
      <c r="N13" s="670">
        <f>+H13-J13+L13</f>
        <v>0</v>
      </c>
      <c r="Q13" s="377"/>
      <c r="R13" s="322"/>
      <c r="S13" s="322"/>
      <c r="T13" s="322"/>
      <c r="U13" s="322"/>
      <c r="V13" s="322"/>
      <c r="W13" s="322"/>
    </row>
    <row r="14" spans="2:23">
      <c r="B14" s="481"/>
      <c r="H14" s="287"/>
      <c r="J14" s="287"/>
      <c r="L14" s="287"/>
      <c r="Q14" s="322"/>
      <c r="R14" s="322"/>
      <c r="S14" s="322"/>
      <c r="T14" s="322"/>
      <c r="U14" s="322"/>
      <c r="V14" s="322"/>
      <c r="W14" s="322"/>
    </row>
    <row r="15" spans="2:23" ht="21" customHeight="1">
      <c r="B15" s="481" t="s">
        <v>385</v>
      </c>
      <c r="C15" s="669" t="s">
        <v>3406</v>
      </c>
      <c r="D15" s="668"/>
      <c r="E15" s="668"/>
      <c r="F15" s="668"/>
      <c r="G15" s="331" t="s">
        <v>482</v>
      </c>
      <c r="H15" s="580"/>
      <c r="I15" s="331" t="s">
        <v>482</v>
      </c>
      <c r="J15" s="580"/>
      <c r="K15" s="331" t="s">
        <v>482</v>
      </c>
      <c r="L15" s="580"/>
      <c r="M15" s="331" t="s">
        <v>482</v>
      </c>
      <c r="N15" s="1224">
        <f>+H15-J15+L15</f>
        <v>0</v>
      </c>
      <c r="Q15" s="322"/>
      <c r="R15" s="322"/>
      <c r="S15" s="322"/>
      <c r="T15" s="322"/>
      <c r="U15" s="322"/>
      <c r="V15" s="322"/>
      <c r="W15" s="322"/>
    </row>
    <row r="16" spans="2:23" ht="21" customHeight="1">
      <c r="B16" s="481" t="s">
        <v>386</v>
      </c>
      <c r="C16" s="668"/>
      <c r="D16" s="668"/>
      <c r="E16" s="668"/>
      <c r="F16" s="668"/>
      <c r="G16" s="331" t="s">
        <v>482</v>
      </c>
      <c r="H16" s="580"/>
      <c r="I16" s="331" t="s">
        <v>482</v>
      </c>
      <c r="J16" s="580"/>
      <c r="K16" s="331" t="s">
        <v>482</v>
      </c>
      <c r="L16" s="580"/>
      <c r="M16" s="331" t="s">
        <v>482</v>
      </c>
      <c r="N16" s="1224">
        <f>+H16-J16+L16</f>
        <v>0</v>
      </c>
      <c r="Q16" s="322"/>
      <c r="R16" s="322"/>
      <c r="S16" s="322"/>
      <c r="T16" s="322"/>
      <c r="U16" s="322"/>
      <c r="V16" s="322"/>
      <c r="W16" s="322"/>
    </row>
    <row r="17" spans="2:23" ht="21" customHeight="1">
      <c r="B17" s="481" t="s">
        <v>387</v>
      </c>
      <c r="C17" s="668"/>
      <c r="D17" s="668"/>
      <c r="E17" s="668"/>
      <c r="F17" s="668"/>
      <c r="G17" s="331" t="s">
        <v>482</v>
      </c>
      <c r="H17" s="580"/>
      <c r="I17" s="331" t="s">
        <v>482</v>
      </c>
      <c r="J17" s="580"/>
      <c r="K17" s="331" t="s">
        <v>482</v>
      </c>
      <c r="L17" s="580"/>
      <c r="M17" s="331" t="s">
        <v>482</v>
      </c>
      <c r="N17" s="1224">
        <f t="shared" ref="N17:N23" si="0">+H17-J17+L17</f>
        <v>0</v>
      </c>
      <c r="Q17" s="322"/>
      <c r="R17" s="322"/>
      <c r="S17" s="322"/>
      <c r="T17" s="322"/>
      <c r="U17" s="322"/>
      <c r="V17" s="322"/>
      <c r="W17" s="322"/>
    </row>
    <row r="18" spans="2:23" ht="21" customHeight="1">
      <c r="B18" s="481" t="s">
        <v>388</v>
      </c>
      <c r="C18" s="668"/>
      <c r="D18" s="668"/>
      <c r="E18" s="668"/>
      <c r="F18" s="668"/>
      <c r="G18" s="331" t="s">
        <v>482</v>
      </c>
      <c r="H18" s="580"/>
      <c r="I18" s="331" t="s">
        <v>482</v>
      </c>
      <c r="J18" s="580"/>
      <c r="K18" s="331" t="s">
        <v>482</v>
      </c>
      <c r="L18" s="580"/>
      <c r="M18" s="331" t="s">
        <v>482</v>
      </c>
      <c r="N18" s="1224">
        <f t="shared" si="0"/>
        <v>0</v>
      </c>
      <c r="Q18" s="322"/>
      <c r="R18" s="322"/>
      <c r="S18" s="322"/>
      <c r="T18" s="322"/>
      <c r="U18" s="322"/>
      <c r="V18" s="322"/>
      <c r="W18" s="322"/>
    </row>
    <row r="19" spans="2:23" ht="21" customHeight="1">
      <c r="B19" s="481"/>
      <c r="C19" s="1226" t="s">
        <v>3488</v>
      </c>
      <c r="D19" s="1226"/>
      <c r="E19" s="1226"/>
      <c r="F19" s="1226"/>
      <c r="G19" s="740" t="s">
        <v>482</v>
      </c>
      <c r="H19" s="580"/>
      <c r="I19" s="740" t="s">
        <v>482</v>
      </c>
      <c r="J19" s="580"/>
      <c r="K19" s="740" t="s">
        <v>482</v>
      </c>
      <c r="L19" s="580"/>
      <c r="M19" s="331" t="s">
        <v>482</v>
      </c>
      <c r="N19" s="1224">
        <f t="shared" si="0"/>
        <v>0</v>
      </c>
      <c r="Q19" s="322"/>
      <c r="R19" s="322"/>
      <c r="S19" s="322"/>
      <c r="T19" s="322"/>
      <c r="U19" s="322"/>
      <c r="V19" s="322"/>
      <c r="W19" s="322"/>
    </row>
    <row r="20" spans="2:23" ht="21" customHeight="1">
      <c r="B20" s="481"/>
      <c r="C20" s="1227" t="s">
        <v>3489</v>
      </c>
      <c r="D20" s="1128"/>
      <c r="E20" s="1226"/>
      <c r="F20" s="1226"/>
      <c r="G20" s="740" t="s">
        <v>482</v>
      </c>
      <c r="H20" s="1225">
        <f>H13+H15+H16+H17+H18+H19</f>
        <v>0</v>
      </c>
      <c r="I20" s="740" t="s">
        <v>482</v>
      </c>
      <c r="J20" s="1225">
        <f>J13+J15+J16+J17+J18+J19</f>
        <v>0</v>
      </c>
      <c r="K20" s="740" t="s">
        <v>482</v>
      </c>
      <c r="L20" s="1225">
        <f>L13+L15+L16+L17+L18+L19</f>
        <v>0</v>
      </c>
      <c r="M20" s="331" t="s">
        <v>482</v>
      </c>
      <c r="N20" s="1225">
        <f>N13+N15+N16+N17+N18+N19</f>
        <v>0</v>
      </c>
      <c r="Q20" s="322"/>
      <c r="R20" s="322"/>
      <c r="S20" s="322"/>
      <c r="T20" s="322"/>
      <c r="U20" s="322"/>
      <c r="V20" s="322"/>
      <c r="W20" s="322"/>
    </row>
    <row r="21" spans="2:23" ht="21" customHeight="1">
      <c r="B21" s="481" t="s">
        <v>389</v>
      </c>
      <c r="C21" s="668"/>
      <c r="D21" s="668"/>
      <c r="E21" s="668"/>
      <c r="F21" s="668"/>
      <c r="G21" s="331" t="s">
        <v>482</v>
      </c>
      <c r="H21" s="580"/>
      <c r="I21" s="331" t="s">
        <v>482</v>
      </c>
      <c r="J21" s="580"/>
      <c r="K21" s="331" t="s">
        <v>482</v>
      </c>
      <c r="L21" s="580"/>
      <c r="M21" s="331" t="s">
        <v>482</v>
      </c>
      <c r="N21" s="1224">
        <f t="shared" si="0"/>
        <v>0</v>
      </c>
      <c r="Q21" s="322"/>
      <c r="R21" s="322"/>
      <c r="S21" s="322"/>
      <c r="T21" s="322"/>
      <c r="U21" s="322"/>
      <c r="V21" s="322"/>
      <c r="W21" s="322"/>
    </row>
    <row r="22" spans="2:23" ht="21" customHeight="1">
      <c r="B22" s="481" t="s">
        <v>390</v>
      </c>
      <c r="C22" s="668"/>
      <c r="D22" s="668"/>
      <c r="E22" s="668"/>
      <c r="F22" s="668"/>
      <c r="G22" s="331" t="s">
        <v>482</v>
      </c>
      <c r="H22" s="580"/>
      <c r="I22" s="331" t="s">
        <v>482</v>
      </c>
      <c r="J22" s="580"/>
      <c r="K22" s="331" t="s">
        <v>482</v>
      </c>
      <c r="L22" s="580"/>
      <c r="M22" s="331" t="s">
        <v>482</v>
      </c>
      <c r="N22" s="1224">
        <f t="shared" si="0"/>
        <v>0</v>
      </c>
      <c r="Q22" s="322"/>
      <c r="R22" s="322"/>
      <c r="S22" s="322"/>
      <c r="T22" s="322"/>
      <c r="U22" s="322"/>
      <c r="V22" s="322"/>
      <c r="W22" s="322"/>
    </row>
    <row r="23" spans="2:23" ht="21" customHeight="1">
      <c r="B23" s="481"/>
      <c r="C23" s="1348" t="s">
        <v>3781</v>
      </c>
      <c r="D23" s="1226"/>
      <c r="E23" s="1226"/>
      <c r="F23" s="1226"/>
      <c r="G23" s="740" t="s">
        <v>482</v>
      </c>
      <c r="H23" s="1225">
        <f>H21+H22</f>
        <v>0</v>
      </c>
      <c r="I23" s="740" t="s">
        <v>482</v>
      </c>
      <c r="J23" s="1225">
        <f>J21+J22</f>
        <v>0</v>
      </c>
      <c r="K23" s="740" t="s">
        <v>482</v>
      </c>
      <c r="L23" s="1225">
        <f>L21+L22</f>
        <v>0</v>
      </c>
      <c r="M23" s="331" t="s">
        <v>482</v>
      </c>
      <c r="N23" s="1224">
        <f t="shared" si="0"/>
        <v>0</v>
      </c>
      <c r="Q23" s="322"/>
      <c r="R23" s="322"/>
      <c r="S23" s="322"/>
      <c r="T23" s="322"/>
      <c r="U23" s="322"/>
      <c r="V23" s="322"/>
      <c r="W23" s="322"/>
    </row>
    <row r="24" spans="2:23">
      <c r="B24" s="481"/>
      <c r="Q24" s="322"/>
      <c r="R24" s="322"/>
      <c r="S24" s="322"/>
      <c r="T24" s="322"/>
      <c r="U24" s="322"/>
      <c r="V24" s="322"/>
      <c r="W24" s="322"/>
    </row>
    <row r="25" spans="2:23">
      <c r="B25" s="1347"/>
      <c r="C25" s="1146" t="s">
        <v>1133</v>
      </c>
      <c r="D25" s="1146"/>
      <c r="E25" s="1146"/>
      <c r="F25" s="1146"/>
      <c r="G25" s="1146"/>
      <c r="H25" s="1146"/>
      <c r="I25" s="1146"/>
      <c r="J25" s="1146"/>
      <c r="K25" s="1146"/>
      <c r="L25" s="1146"/>
      <c r="M25" s="1146"/>
      <c r="N25" s="1146"/>
      <c r="Q25" s="322"/>
      <c r="R25" s="322"/>
      <c r="S25" s="322"/>
      <c r="T25" s="322"/>
      <c r="U25" s="322"/>
      <c r="V25" s="322"/>
      <c r="W25" s="322"/>
    </row>
    <row r="26" spans="2:23">
      <c r="B26" s="1347"/>
      <c r="C26" s="1146"/>
      <c r="D26" s="1146"/>
      <c r="E26" s="1146"/>
      <c r="F26" s="1146"/>
      <c r="G26" s="1146"/>
      <c r="H26" s="1146"/>
      <c r="I26" s="1146"/>
      <c r="J26" s="1146"/>
      <c r="K26" s="1146"/>
      <c r="L26" s="1146"/>
      <c r="M26" s="1146"/>
      <c r="N26" s="1146"/>
      <c r="Q26" s="322"/>
      <c r="R26" s="322"/>
      <c r="S26" s="322"/>
      <c r="T26" s="322"/>
      <c r="U26" s="322"/>
      <c r="V26" s="322"/>
      <c r="W26" s="322"/>
    </row>
    <row r="27" spans="2:23">
      <c r="B27" s="1347"/>
      <c r="C27" s="1146"/>
      <c r="D27" s="1146"/>
      <c r="E27" s="1146"/>
      <c r="F27" s="1146"/>
      <c r="G27" s="1146"/>
      <c r="H27" s="1146"/>
      <c r="I27" s="1146"/>
      <c r="J27" s="1146"/>
      <c r="K27" s="1146"/>
      <c r="L27" s="1146"/>
      <c r="M27" s="1146"/>
      <c r="N27" s="1146"/>
      <c r="Q27" s="322"/>
      <c r="R27" s="322"/>
      <c r="S27" s="322"/>
      <c r="T27" s="322"/>
      <c r="U27" s="322"/>
      <c r="V27" s="322"/>
      <c r="W27" s="322"/>
    </row>
    <row r="28" spans="2:23" ht="15.6">
      <c r="B28" s="1927" t="s">
        <v>530</v>
      </c>
      <c r="C28" s="1927"/>
      <c r="D28" s="1927"/>
      <c r="E28" s="1927"/>
      <c r="F28" s="1927"/>
      <c r="G28" s="1927"/>
      <c r="H28" s="1927"/>
      <c r="I28" s="1927"/>
      <c r="J28" s="1927"/>
      <c r="K28" s="1927"/>
      <c r="L28" s="1927"/>
      <c r="M28" s="1927"/>
      <c r="N28" s="1927"/>
    </row>
    <row r="29" spans="2:23" ht="15.6">
      <c r="B29" s="1927" t="s">
        <v>531</v>
      </c>
      <c r="C29" s="1927"/>
      <c r="D29" s="1927"/>
      <c r="E29" s="1927"/>
      <c r="F29" s="1927"/>
      <c r="G29" s="1927"/>
      <c r="H29" s="1927"/>
      <c r="I29" s="1927"/>
      <c r="J29" s="1927"/>
      <c r="K29" s="1927"/>
      <c r="L29" s="1927"/>
      <c r="M29" s="1927"/>
      <c r="N29" s="1927"/>
    </row>
    <row r="30" spans="2:23" ht="6.75" customHeight="1">
      <c r="B30" s="1349"/>
      <c r="C30" s="1349"/>
      <c r="D30" s="1349"/>
      <c r="E30" s="1349"/>
      <c r="F30" s="1349"/>
      <c r="G30" s="1349"/>
      <c r="H30" s="1349"/>
      <c r="I30" s="1349"/>
      <c r="J30" s="1349"/>
      <c r="K30" s="1349"/>
      <c r="L30" s="1349"/>
      <c r="M30" s="1349"/>
      <c r="N30" s="1349"/>
    </row>
    <row r="31" spans="2:23" ht="18" customHeight="1">
      <c r="B31" s="1347"/>
      <c r="C31" s="1146"/>
      <c r="D31" s="1931" t="s">
        <v>18</v>
      </c>
      <c r="E31" s="1931"/>
      <c r="F31" s="1350"/>
      <c r="G31" s="1931" t="s">
        <v>532</v>
      </c>
      <c r="H31" s="1931"/>
      <c r="I31" s="1931"/>
      <c r="J31" s="1931"/>
      <c r="K31" s="1931"/>
      <c r="L31" s="1931"/>
      <c r="M31" s="1350"/>
      <c r="N31" s="1351" t="s">
        <v>533</v>
      </c>
    </row>
    <row r="32" spans="2:23" ht="21" customHeight="1">
      <c r="B32" s="481"/>
      <c r="C32" s="481" t="s">
        <v>384</v>
      </c>
      <c r="D32" s="668"/>
      <c r="E32" s="668"/>
      <c r="G32" s="668"/>
      <c r="H32" s="668"/>
      <c r="I32" s="668"/>
      <c r="J32" s="668"/>
      <c r="K32" s="668"/>
      <c r="L32" s="668"/>
      <c r="M32" s="331" t="s">
        <v>482</v>
      </c>
      <c r="N32" s="376"/>
    </row>
    <row r="33" spans="2:14" ht="21" customHeight="1">
      <c r="B33" s="481"/>
      <c r="C33" s="481" t="s">
        <v>385</v>
      </c>
      <c r="D33" s="668"/>
      <c r="E33" s="668"/>
      <c r="G33" s="668"/>
      <c r="H33" s="668"/>
      <c r="I33" s="668"/>
      <c r="J33" s="668"/>
      <c r="K33" s="668"/>
      <c r="L33" s="668"/>
      <c r="M33" s="331" t="s">
        <v>482</v>
      </c>
      <c r="N33" s="376"/>
    </row>
    <row r="34" spans="2:14" ht="21" customHeight="1">
      <c r="B34" s="481"/>
      <c r="C34" s="481" t="s">
        <v>386</v>
      </c>
      <c r="D34" s="668"/>
      <c r="E34" s="668"/>
      <c r="G34" s="668"/>
      <c r="H34" s="668"/>
      <c r="I34" s="668"/>
      <c r="J34" s="668"/>
      <c r="K34" s="668"/>
      <c r="L34" s="668"/>
      <c r="M34" s="331" t="s">
        <v>482</v>
      </c>
      <c r="N34" s="376"/>
    </row>
    <row r="35" spans="2:14" ht="21" customHeight="1">
      <c r="B35" s="481"/>
      <c r="C35" s="481" t="s">
        <v>387</v>
      </c>
      <c r="D35" s="668"/>
      <c r="E35" s="668"/>
      <c r="G35" s="668"/>
      <c r="H35" s="668"/>
      <c r="I35" s="668"/>
      <c r="J35" s="668"/>
      <c r="K35" s="668"/>
      <c r="L35" s="668"/>
      <c r="M35" s="331" t="s">
        <v>482</v>
      </c>
      <c r="N35" s="376"/>
    </row>
    <row r="36" spans="2:14" ht="21" customHeight="1">
      <c r="B36" s="481"/>
      <c r="C36" s="481" t="s">
        <v>388</v>
      </c>
      <c r="D36" s="668"/>
      <c r="E36" s="668"/>
      <c r="G36" s="668"/>
      <c r="H36" s="668"/>
      <c r="I36" s="668"/>
      <c r="J36" s="668"/>
      <c r="K36" s="668"/>
      <c r="L36" s="668"/>
      <c r="M36" s="331" t="s">
        <v>482</v>
      </c>
      <c r="N36" s="376"/>
    </row>
    <row r="37" spans="2:14">
      <c r="B37" s="481"/>
    </row>
    <row r="38" spans="2:14">
      <c r="B38" s="481"/>
    </row>
    <row r="39" spans="2:14">
      <c r="B39" s="1347"/>
      <c r="C39" s="1146"/>
      <c r="D39" s="1146"/>
      <c r="E39" s="1146"/>
      <c r="F39" s="1146"/>
      <c r="G39" s="1146"/>
      <c r="H39" s="1146"/>
      <c r="I39" s="1146"/>
      <c r="J39" s="1146"/>
      <c r="K39" s="1146"/>
      <c r="L39" s="1146"/>
      <c r="M39" s="1146"/>
      <c r="N39" s="1146"/>
    </row>
    <row r="40" spans="2:14" ht="15.6">
      <c r="B40" s="1927" t="s">
        <v>322</v>
      </c>
      <c r="C40" s="1927"/>
      <c r="D40" s="1927"/>
      <c r="E40" s="1927"/>
      <c r="F40" s="1927"/>
      <c r="G40" s="1927"/>
      <c r="H40" s="1927"/>
      <c r="I40" s="1927"/>
      <c r="J40" s="1927"/>
      <c r="K40" s="1927"/>
      <c r="L40" s="1927"/>
      <c r="M40" s="1927"/>
      <c r="N40" s="1927"/>
    </row>
    <row r="41" spans="2:14">
      <c r="B41" s="1347"/>
      <c r="C41" s="1146"/>
      <c r="D41" s="1146"/>
      <c r="E41" s="1146"/>
      <c r="F41" s="1146"/>
      <c r="G41" s="1146"/>
      <c r="H41" s="1146"/>
      <c r="I41" s="1146"/>
      <c r="J41" s="1146"/>
      <c r="K41" s="1146"/>
      <c r="L41" s="1146"/>
      <c r="M41" s="1146"/>
      <c r="N41" s="1146"/>
    </row>
    <row r="42" spans="2:14">
      <c r="B42" s="1347"/>
      <c r="C42" s="1146"/>
      <c r="D42" s="1146"/>
      <c r="E42" s="1146"/>
      <c r="F42" s="1146"/>
      <c r="G42" s="1146"/>
      <c r="H42" s="1146"/>
      <c r="I42" s="1146"/>
      <c r="J42" s="1146"/>
      <c r="K42" s="1146"/>
      <c r="L42" s="1146"/>
      <c r="M42" s="1146"/>
      <c r="N42" s="1141" t="s">
        <v>538</v>
      </c>
    </row>
    <row r="43" spans="2:14">
      <c r="B43" s="1347"/>
      <c r="C43" s="1146"/>
      <c r="D43" s="1146"/>
      <c r="E43" s="1146"/>
      <c r="F43" s="1146"/>
      <c r="G43" s="1146"/>
      <c r="H43" s="1146"/>
      <c r="I43" s="1146"/>
      <c r="J43" s="1146"/>
      <c r="K43" s="1146"/>
      <c r="L43" s="1146"/>
      <c r="M43" s="1146"/>
      <c r="N43" s="1141" t="s">
        <v>539</v>
      </c>
    </row>
    <row r="44" spans="2:14">
      <c r="B44" s="1347"/>
      <c r="C44" s="1146"/>
      <c r="D44" s="1930" t="s">
        <v>535</v>
      </c>
      <c r="E44" s="1930"/>
      <c r="F44" s="1146"/>
      <c r="G44" s="1146"/>
      <c r="H44" s="1930" t="s">
        <v>536</v>
      </c>
      <c r="I44" s="1930"/>
      <c r="J44" s="1345" t="s">
        <v>537</v>
      </c>
      <c r="K44" s="1146"/>
      <c r="L44" s="1345" t="s">
        <v>533</v>
      </c>
      <c r="M44" s="1146"/>
      <c r="N44" s="1345" t="str">
        <f>"Year "&amp;TEXT('KEY INPUTS'!D34,"0")&amp;""</f>
        <v>Year 2019</v>
      </c>
    </row>
    <row r="45" spans="2:14">
      <c r="B45" s="1347"/>
      <c r="C45" s="1146"/>
      <c r="D45" s="1146"/>
      <c r="E45" s="1146"/>
      <c r="F45" s="1146"/>
      <c r="G45" s="1146"/>
      <c r="H45" s="1146"/>
      <c r="I45" s="1146"/>
      <c r="J45" s="1146"/>
      <c r="K45" s="1146"/>
      <c r="L45" s="1146"/>
      <c r="M45" s="1146"/>
      <c r="N45" s="1146"/>
    </row>
    <row r="46" spans="2:14" ht="21" customHeight="1">
      <c r="B46" s="481"/>
      <c r="C46" s="481" t="s">
        <v>384</v>
      </c>
      <c r="D46" s="668"/>
      <c r="E46" s="668"/>
      <c r="F46" s="668"/>
      <c r="G46" s="668"/>
      <c r="H46" s="668"/>
      <c r="I46" s="668"/>
      <c r="J46" s="668"/>
      <c r="K46" s="331" t="s">
        <v>482</v>
      </c>
      <c r="L46" s="376"/>
      <c r="M46" s="667"/>
      <c r="N46" s="376"/>
    </row>
    <row r="47" spans="2:14" ht="21" customHeight="1">
      <c r="B47" s="481"/>
      <c r="C47" s="481" t="s">
        <v>385</v>
      </c>
      <c r="D47" s="668"/>
      <c r="E47" s="668"/>
      <c r="F47" s="668"/>
      <c r="G47" s="668"/>
      <c r="H47" s="668"/>
      <c r="I47" s="668"/>
      <c r="J47" s="668"/>
      <c r="K47" s="331" t="s">
        <v>482</v>
      </c>
      <c r="L47" s="376"/>
      <c r="M47" s="667"/>
      <c r="N47" s="376"/>
    </row>
    <row r="48" spans="2:14" ht="21" customHeight="1">
      <c r="B48" s="481"/>
      <c r="C48" s="481" t="s">
        <v>386</v>
      </c>
      <c r="D48" s="668"/>
      <c r="E48" s="668"/>
      <c r="F48" s="668"/>
      <c r="G48" s="668"/>
      <c r="H48" s="668"/>
      <c r="I48" s="668"/>
      <c r="J48" s="668"/>
      <c r="K48" s="331" t="s">
        <v>482</v>
      </c>
      <c r="L48" s="376"/>
      <c r="M48" s="667"/>
      <c r="N48" s="376"/>
    </row>
    <row r="49" spans="2:14" ht="21" customHeight="1">
      <c r="B49" s="481"/>
      <c r="C49" s="481" t="s">
        <v>387</v>
      </c>
      <c r="D49" s="668"/>
      <c r="E49" s="668"/>
      <c r="F49" s="668"/>
      <c r="G49" s="668"/>
      <c r="H49" s="668"/>
      <c r="I49" s="668"/>
      <c r="J49" s="668"/>
      <c r="K49" s="331" t="s">
        <v>482</v>
      </c>
      <c r="L49" s="376"/>
      <c r="M49" s="667"/>
      <c r="N49" s="376"/>
    </row>
    <row r="50" spans="2:14">
      <c r="B50" s="481"/>
    </row>
    <row r="51" spans="2:14">
      <c r="B51" s="481"/>
    </row>
    <row r="52" spans="2:14">
      <c r="B52" s="481"/>
    </row>
    <row r="53" spans="2:14">
      <c r="B53" s="481"/>
    </row>
    <row r="54" spans="2:14">
      <c r="B54" s="481"/>
    </row>
    <row r="55" spans="2:14">
      <c r="B55" s="481"/>
    </row>
    <row r="56" spans="2:14">
      <c r="B56" s="481"/>
    </row>
    <row r="57" spans="2:14">
      <c r="B57" s="481"/>
    </row>
    <row r="58" spans="2:14">
      <c r="B58" s="481"/>
    </row>
    <row r="59" spans="2:14">
      <c r="B59" s="481"/>
    </row>
    <row r="60" spans="2:14">
      <c r="B60" s="481"/>
    </row>
    <row r="61" spans="2:14" ht="13.8">
      <c r="B61" s="1813" t="s">
        <v>3443</v>
      </c>
      <c r="C61" s="1813"/>
      <c r="D61" s="1813"/>
      <c r="E61" s="1813"/>
      <c r="F61" s="1813"/>
      <c r="G61" s="1813"/>
      <c r="H61" s="1813"/>
      <c r="I61" s="1813"/>
      <c r="J61" s="1813"/>
      <c r="K61" s="1813"/>
      <c r="L61" s="1813"/>
      <c r="M61" s="1813"/>
      <c r="N61" s="1813"/>
    </row>
    <row r="62" spans="2:14">
      <c r="B62" s="481"/>
    </row>
    <row r="63" spans="2:14">
      <c r="B63" s="481"/>
    </row>
    <row r="64" spans="2:14">
      <c r="B64" s="481"/>
    </row>
    <row r="65" spans="2:2">
      <c r="B65" s="481"/>
    </row>
    <row r="66" spans="2:2">
      <c r="B66" s="481"/>
    </row>
    <row r="67" spans="2:2">
      <c r="B67" s="481"/>
    </row>
    <row r="68" spans="2:2">
      <c r="B68" s="481"/>
    </row>
    <row r="69" spans="2:2">
      <c r="B69" s="481"/>
    </row>
  </sheetData>
  <sheetProtection algorithmName="SHA-512" hashValue="TJ6sJIPwLIkjQconQZiQQOtHf9yeX9o3khReCt9UfHGcmonEXuDke9aR7i9205kShoE0eDfmJK7V/rrhRKXT4Q==" saltValue="n5NlgdhDz5tXZjyk1ocNwQ==" spinCount="100000" sheet="1" objects="1" scenarios="1"/>
  <customSheetViews>
    <customSheetView guid="{AC653BD0-46E3-42CB-9C76-32121A57B65A}">
      <selection activeCell="N23" sqref="N23"/>
      <pageMargins left="0.25" right="0.25" top="0.5" bottom="0.5" header="0.25" footer="0.25"/>
      <pageSetup paperSize="5" orientation="portrait" r:id="rId1"/>
      <headerFooter alignWithMargins="0"/>
    </customSheetView>
    <customSheetView guid="{B165479B-DC25-403C-9595-F1A88A4AA9A2}">
      <selection activeCell="N23" sqref="N23"/>
      <pageMargins left="0.25" right="0.25" top="0.5" bottom="0.5" header="0.25" footer="0.25"/>
      <pageSetup paperSize="5" orientation="portrait" r:id="rId2"/>
      <headerFooter alignWithMargins="0"/>
    </customSheetView>
    <customSheetView guid="{A64E4C9E-A3DA-4AAA-8607-F524450B9436}">
      <selection activeCell="N23" sqref="N23"/>
      <pageMargins left="0.25" right="0.25" top="0.5" bottom="0.5" header="0.25" footer="0.25"/>
      <pageSetup paperSize="5" orientation="portrait" r:id="rId3"/>
      <headerFooter alignWithMargins="0"/>
    </customSheetView>
    <customSheetView guid="{AB4FBD91-4533-473A-9702-569FF6402073}">
      <selection activeCell="N23" sqref="N23"/>
      <pageMargins left="0.25" right="0.25" top="0.5" bottom="0.5" header="0.25" footer="0.25"/>
      <pageSetup paperSize="5" orientation="portrait" r:id="rId4"/>
      <headerFooter alignWithMargins="0"/>
    </customSheetView>
  </customSheetViews>
  <mergeCells count="13">
    <mergeCell ref="B61:N61"/>
    <mergeCell ref="B29:N29"/>
    <mergeCell ref="D31:E31"/>
    <mergeCell ref="G31:L31"/>
    <mergeCell ref="B40:N40"/>
    <mergeCell ref="D44:E44"/>
    <mergeCell ref="H44:I44"/>
    <mergeCell ref="B28:N28"/>
    <mergeCell ref="B3:N3"/>
    <mergeCell ref="B4:N4"/>
    <mergeCell ref="B5:N5"/>
    <mergeCell ref="B6:N6"/>
    <mergeCell ref="C9:E9"/>
  </mergeCells>
  <pageMargins left="0.25" right="0.25" top="0.5" bottom="0.5" header="0.25" footer="0.25"/>
  <pageSetup paperSize="5" orientation="portrait" r:id="rId5"/>
  <headerFooter alignWithMargins="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1">
    <tabColor theme="5" tint="0.59999389629810485"/>
  </sheetPr>
  <dimension ref="B2:U50"/>
  <sheetViews>
    <sheetView zoomScaleNormal="100" zoomScaleSheetLayoutView="80" workbookViewId="0">
      <selection activeCell="B1" sqref="B1"/>
    </sheetView>
  </sheetViews>
  <sheetFormatPr defaultColWidth="8.88671875" defaultRowHeight="13.2"/>
  <cols>
    <col min="1" max="4" width="4.6640625" style="398" customWidth="1"/>
    <col min="5" max="5" width="17.88671875" style="398" customWidth="1"/>
    <col min="6" max="6" width="8.88671875" style="398"/>
    <col min="7" max="7" width="16.6640625" style="398" customWidth="1"/>
    <col min="8" max="8" width="1.6640625" style="398" customWidth="1"/>
    <col min="9" max="9" width="15.6640625" style="398" customWidth="1"/>
    <col min="10" max="10" width="1.6640625" style="398" customWidth="1"/>
    <col min="11" max="11" width="8.6640625" style="398" customWidth="1"/>
    <col min="12" max="12" width="7.6640625" style="398" customWidth="1"/>
    <col min="13" max="15" width="8.88671875" style="398"/>
    <col min="16" max="17" width="10.33203125" style="398" bestFit="1" customWidth="1"/>
    <col min="18" max="16384" width="8.88671875" style="398"/>
  </cols>
  <sheetData>
    <row r="2" spans="2:21" ht="20.399999999999999">
      <c r="B2" s="1788" t="s">
        <v>160</v>
      </c>
      <c r="C2" s="1788"/>
      <c r="D2" s="1788"/>
      <c r="E2" s="1788"/>
      <c r="F2" s="1788"/>
      <c r="G2" s="1788"/>
      <c r="H2" s="1788"/>
      <c r="I2" s="1788"/>
      <c r="J2" s="1788"/>
      <c r="K2" s="1788"/>
      <c r="L2" s="1788"/>
    </row>
    <row r="3" spans="2:21" ht="20.399999999999999">
      <c r="B3" s="1788" t="str">
        <f>"AND  "&amp;TEXT('KEY INPUTS'!D34+1,"0")&amp;"  DEBT  SERVICE  FOR  BONDS"</f>
        <v>AND  2020  DEBT  SERVICE  FOR  BONDS</v>
      </c>
      <c r="C3" s="1788"/>
      <c r="D3" s="1788"/>
      <c r="E3" s="1788"/>
      <c r="F3" s="1788"/>
      <c r="G3" s="1788"/>
      <c r="H3" s="1788"/>
      <c r="I3" s="1788"/>
      <c r="J3" s="1788"/>
      <c r="K3" s="1788"/>
      <c r="L3" s="1788"/>
    </row>
    <row r="4" spans="2:21" ht="15.6">
      <c r="B4" s="1761" t="str">
        <f>UPPER('KEY INPUTS'!D54)&amp;" UTILITY  ASSESSMENT  BONDS"</f>
        <v xml:space="preserve"> UTILITY  ASSESSMENT  BONDS</v>
      </c>
      <c r="C4" s="1761"/>
      <c r="D4" s="1761"/>
      <c r="E4" s="1761"/>
      <c r="F4" s="1761"/>
      <c r="G4" s="1761"/>
      <c r="H4" s="1761"/>
      <c r="I4" s="1761"/>
      <c r="J4" s="1761"/>
      <c r="K4" s="1761"/>
      <c r="L4" s="1761"/>
    </row>
    <row r="5" spans="2:21" ht="9.75" customHeight="1" thickBot="1">
      <c r="B5" s="1379"/>
      <c r="C5" s="1379"/>
      <c r="D5" s="1379"/>
      <c r="E5" s="1379"/>
      <c r="F5" s="1379"/>
      <c r="G5" s="1379"/>
      <c r="H5" s="1379"/>
      <c r="I5" s="1379"/>
      <c r="J5" s="1379"/>
      <c r="K5" s="1379"/>
      <c r="L5" s="1379"/>
    </row>
    <row r="6" spans="2:21" ht="27.75" customHeight="1" thickTop="1" thickBot="1">
      <c r="B6" s="1333"/>
      <c r="C6" s="1333"/>
      <c r="D6" s="1333"/>
      <c r="E6" s="1333"/>
      <c r="F6" s="1333"/>
      <c r="G6" s="1115" t="s">
        <v>125</v>
      </c>
      <c r="H6" s="1932" t="s">
        <v>126</v>
      </c>
      <c r="I6" s="1763"/>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70"/>
      <c r="D7" s="1170"/>
      <c r="E7" s="1170"/>
      <c r="F7" s="1170"/>
      <c r="G7" s="1171" t="s">
        <v>787</v>
      </c>
      <c r="H7" s="1705"/>
      <c r="I7" s="1706"/>
      <c r="O7" s="322"/>
      <c r="P7" s="322"/>
      <c r="Q7" s="322"/>
      <c r="R7" s="322"/>
      <c r="S7" s="322"/>
      <c r="T7" s="322"/>
      <c r="U7" s="322"/>
    </row>
    <row r="8" spans="2:21" ht="21" customHeight="1">
      <c r="B8" s="690" t="s">
        <v>113</v>
      </c>
      <c r="C8" s="690"/>
      <c r="D8" s="690"/>
      <c r="E8" s="690"/>
      <c r="F8" s="690"/>
      <c r="G8" s="1174" t="s">
        <v>787</v>
      </c>
      <c r="H8" s="1679"/>
      <c r="I8" s="1680"/>
      <c r="O8" s="377"/>
      <c r="P8" s="322"/>
      <c r="Q8" s="322"/>
      <c r="R8" s="322"/>
      <c r="S8" s="322"/>
      <c r="T8" s="322"/>
      <c r="U8" s="322"/>
    </row>
    <row r="9" spans="2:21" ht="21" customHeight="1">
      <c r="B9" s="690"/>
      <c r="C9" s="690"/>
      <c r="D9" s="690"/>
      <c r="E9" s="690"/>
      <c r="F9" s="690"/>
      <c r="G9" s="1174"/>
      <c r="H9" s="1380"/>
      <c r="I9" s="1228"/>
      <c r="O9" s="322"/>
      <c r="P9" s="322"/>
      <c r="Q9" s="322"/>
      <c r="R9" s="322"/>
      <c r="S9" s="322"/>
      <c r="T9" s="322"/>
      <c r="U9" s="322"/>
    </row>
    <row r="10" spans="2:21" ht="21" customHeight="1">
      <c r="B10" s="690" t="s">
        <v>326</v>
      </c>
      <c r="C10" s="690"/>
      <c r="D10" s="690"/>
      <c r="E10" s="690"/>
      <c r="F10" s="690"/>
      <c r="G10" s="601"/>
      <c r="H10" s="1830" t="s">
        <v>787</v>
      </c>
      <c r="I10" s="1831"/>
      <c r="O10" s="322"/>
      <c r="P10" s="322"/>
      <c r="Q10" s="322"/>
      <c r="R10" s="322"/>
      <c r="S10" s="322"/>
      <c r="T10" s="322"/>
      <c r="U10" s="322"/>
    </row>
    <row r="11" spans="2:21" ht="21" customHeight="1" thickBot="1">
      <c r="B11" s="690" t="str">
        <f>'KEY INPUTS'!D28</f>
        <v>Outstanding - December 31, 2019</v>
      </c>
      <c r="C11" s="690"/>
      <c r="D11" s="690"/>
      <c r="E11" s="690"/>
      <c r="F11" s="690"/>
      <c r="G11" s="1129">
        <f>+H7+H8-G10</f>
        <v>0</v>
      </c>
      <c r="H11" s="1832" t="s">
        <v>787</v>
      </c>
      <c r="I11" s="1833"/>
      <c r="O11" s="322"/>
      <c r="P11" s="322"/>
      <c r="Q11" s="322"/>
      <c r="R11" s="322"/>
      <c r="S11" s="322"/>
      <c r="T11" s="322"/>
      <c r="U11" s="322"/>
    </row>
    <row r="12" spans="2:21" ht="21" customHeight="1" thickBot="1">
      <c r="B12" s="1114"/>
      <c r="C12" s="1114"/>
      <c r="D12" s="1114"/>
      <c r="E12" s="1114"/>
      <c r="F12" s="1114"/>
      <c r="G12" s="1131">
        <f>SUM(G7:G11)</f>
        <v>0</v>
      </c>
      <c r="H12" s="1837">
        <f>SUM(H7:I11)</f>
        <v>0</v>
      </c>
      <c r="I12" s="1838"/>
      <c r="O12" s="322"/>
      <c r="P12" s="322"/>
      <c r="Q12" s="322"/>
      <c r="R12" s="322"/>
      <c r="S12" s="322"/>
      <c r="T12" s="322"/>
      <c r="U12" s="322"/>
    </row>
    <row r="13" spans="2:21" ht="21" customHeight="1" thickTop="1">
      <c r="B13" s="1382" t="str">
        <f>TEXT('KEY INPUTS'!D34+1,"0")&amp;" Bond Maturities - Assessment Bonds"</f>
        <v>2020 Bond Maturities - Assessment Bonds</v>
      </c>
      <c r="C13" s="1128"/>
      <c r="D13" s="1128"/>
      <c r="E13" s="1128"/>
      <c r="F13" s="1128"/>
      <c r="G13" s="1128"/>
      <c r="H13" s="1128"/>
      <c r="I13" s="1381"/>
      <c r="J13" s="451" t="s">
        <v>482</v>
      </c>
      <c r="K13" s="1714"/>
      <c r="L13" s="1714"/>
      <c r="O13" s="322"/>
      <c r="P13" s="322"/>
      <c r="Q13" s="322"/>
      <c r="R13" s="322"/>
      <c r="S13" s="322"/>
      <c r="T13" s="322"/>
      <c r="U13" s="322"/>
    </row>
    <row r="14" spans="2:21" ht="21" customHeight="1" thickBot="1">
      <c r="B14" s="1383" t="str">
        <f>TEXT('KEY INPUTS'!D34+1,"0")&amp;" Interest on Bonds"</f>
        <v>2020 Interest on Bonds</v>
      </c>
      <c r="C14" s="1232"/>
      <c r="D14" s="1232"/>
      <c r="E14" s="1232"/>
      <c r="F14" s="1232"/>
      <c r="G14" s="1257"/>
      <c r="H14" s="488" t="s">
        <v>482</v>
      </c>
      <c r="I14" s="608"/>
      <c r="O14" s="322"/>
      <c r="P14" s="322"/>
      <c r="Q14" s="322"/>
      <c r="R14" s="322"/>
      <c r="S14" s="322"/>
      <c r="T14" s="322"/>
      <c r="U14" s="322"/>
    </row>
    <row r="15" spans="2:21" ht="16.5" customHeight="1" thickTop="1">
      <c r="B15" s="1951"/>
      <c r="C15" s="1951"/>
      <c r="D15" s="1951"/>
      <c r="E15" s="1951"/>
      <c r="F15" s="1951"/>
      <c r="G15" s="1951"/>
      <c r="H15" s="1951"/>
      <c r="I15" s="1952"/>
      <c r="O15" s="322"/>
      <c r="P15" s="322"/>
      <c r="Q15" s="322"/>
      <c r="R15" s="322"/>
      <c r="S15" s="322"/>
      <c r="T15" s="322"/>
      <c r="U15" s="322"/>
    </row>
    <row r="16" spans="2:21" ht="26.25" customHeight="1" thickBot="1">
      <c r="B16" s="1935" t="str">
        <f>UPPER('KEY INPUTS'!D54) &amp;" UTILITY  CAPITAL  BONDS"</f>
        <v xml:space="preserve"> UTILITY  CAPITAL  BONDS</v>
      </c>
      <c r="C16" s="1935"/>
      <c r="D16" s="1935"/>
      <c r="E16" s="1935"/>
      <c r="F16" s="1935"/>
      <c r="G16" s="1935"/>
      <c r="H16" s="1935"/>
      <c r="I16" s="1936"/>
      <c r="O16" s="322"/>
      <c r="P16" s="322"/>
      <c r="Q16" s="322"/>
      <c r="R16" s="322"/>
      <c r="S16" s="322"/>
      <c r="T16" s="322"/>
      <c r="U16" s="322"/>
    </row>
    <row r="17" spans="2:21" ht="21" customHeight="1" thickTop="1">
      <c r="B17" s="1211" t="str">
        <f>'KEY INPUTS'!D27</f>
        <v>Outstanding - January 1, 2019</v>
      </c>
      <c r="C17" s="1170"/>
      <c r="D17" s="1170"/>
      <c r="E17" s="1170"/>
      <c r="F17" s="1170"/>
      <c r="G17" s="1171" t="s">
        <v>787</v>
      </c>
      <c r="H17" s="1705"/>
      <c r="I17" s="1706"/>
      <c r="O17" s="322"/>
      <c r="P17" s="322"/>
      <c r="Q17" s="322"/>
      <c r="R17" s="322"/>
      <c r="S17" s="322"/>
      <c r="T17" s="322"/>
      <c r="U17" s="322"/>
    </row>
    <row r="18" spans="2:21" ht="21" customHeight="1">
      <c r="B18" s="690" t="s">
        <v>113</v>
      </c>
      <c r="C18" s="690"/>
      <c r="D18" s="690"/>
      <c r="E18" s="690"/>
      <c r="F18" s="690"/>
      <c r="G18" s="1174" t="s">
        <v>787</v>
      </c>
      <c r="H18" s="1679"/>
      <c r="I18" s="1680"/>
      <c r="O18" s="322"/>
      <c r="P18" s="322"/>
      <c r="Q18" s="322"/>
      <c r="R18" s="322"/>
      <c r="S18" s="322"/>
      <c r="T18" s="322"/>
      <c r="U18" s="322"/>
    </row>
    <row r="19" spans="2:21" ht="21" customHeight="1">
      <c r="B19" s="690" t="s">
        <v>326</v>
      </c>
      <c r="C19" s="690"/>
      <c r="D19" s="690"/>
      <c r="E19" s="690"/>
      <c r="F19" s="690"/>
      <c r="G19" s="601"/>
      <c r="H19" s="1830" t="s">
        <v>787</v>
      </c>
      <c r="I19" s="1831"/>
      <c r="O19" s="322"/>
      <c r="P19" s="322"/>
      <c r="Q19" s="322"/>
      <c r="R19" s="322"/>
      <c r="S19" s="322"/>
      <c r="T19" s="322"/>
      <c r="U19" s="322"/>
    </row>
    <row r="20" spans="2:21" ht="21" customHeight="1">
      <c r="B20" s="690"/>
      <c r="C20" s="690"/>
      <c r="D20" s="690"/>
      <c r="E20" s="690"/>
      <c r="F20" s="690"/>
      <c r="G20" s="689"/>
      <c r="H20" s="1839"/>
      <c r="I20" s="1840"/>
      <c r="O20" s="322"/>
      <c r="P20" s="322"/>
      <c r="Q20" s="322"/>
      <c r="R20" s="322"/>
      <c r="S20" s="322"/>
      <c r="T20" s="322"/>
      <c r="U20" s="322"/>
    </row>
    <row r="21" spans="2:21" ht="21" customHeight="1">
      <c r="B21" s="690"/>
      <c r="C21" s="690"/>
      <c r="D21" s="690"/>
      <c r="E21" s="690"/>
      <c r="F21" s="690"/>
      <c r="G21" s="689"/>
      <c r="H21" s="1839"/>
      <c r="I21" s="1840"/>
      <c r="O21" s="322"/>
      <c r="P21" s="322"/>
      <c r="Q21" s="322"/>
      <c r="R21" s="322"/>
      <c r="S21" s="322"/>
      <c r="T21" s="322"/>
      <c r="U21" s="322"/>
    </row>
    <row r="22" spans="2:21" ht="21" customHeight="1" thickBot="1">
      <c r="B22" s="690" t="str">
        <f>'KEY INPUTS'!D28</f>
        <v>Outstanding - December 31, 2019</v>
      </c>
      <c r="C22" s="690"/>
      <c r="D22" s="690"/>
      <c r="E22" s="690"/>
      <c r="F22" s="690"/>
      <c r="G22" s="1129">
        <f>+H17+H18-G19-G20-G21+H20+H21</f>
        <v>0</v>
      </c>
      <c r="H22" s="1832" t="s">
        <v>787</v>
      </c>
      <c r="I22" s="1833"/>
      <c r="O22" s="322"/>
      <c r="P22" s="322"/>
      <c r="Q22" s="322"/>
      <c r="R22" s="322"/>
      <c r="S22" s="322"/>
      <c r="T22" s="322"/>
      <c r="U22" s="322"/>
    </row>
    <row r="23" spans="2:21" ht="21" customHeight="1" thickBot="1">
      <c r="B23" s="1114"/>
      <c r="C23" s="1114"/>
      <c r="D23" s="1114"/>
      <c r="E23" s="1114"/>
      <c r="F23" s="1114"/>
      <c r="G23" s="1131">
        <f>SUM(G17:G22)</f>
        <v>0</v>
      </c>
      <c r="H23" s="1837">
        <f>SUM(H17:I22)</f>
        <v>0</v>
      </c>
      <c r="I23" s="1838"/>
    </row>
    <row r="24" spans="2:21" ht="21" customHeight="1" thickTop="1">
      <c r="B24" s="1382" t="str">
        <f>TEXT('KEY INPUTS'!D34+1,"0")&amp;" Bond Maturities - Capital Bonds"</f>
        <v>2020 Bond Maturities - Capital Bonds</v>
      </c>
      <c r="C24" s="1128"/>
      <c r="D24" s="1128"/>
      <c r="E24" s="1128"/>
      <c r="F24" s="1128"/>
      <c r="G24" s="1128"/>
      <c r="H24" s="1128"/>
      <c r="I24" s="1384"/>
      <c r="J24" s="451" t="s">
        <v>482</v>
      </c>
      <c r="K24" s="1714"/>
      <c r="L24" s="1714"/>
    </row>
    <row r="25" spans="2:21" ht="21" customHeight="1" thickBot="1">
      <c r="B25" s="1383" t="str">
        <f>TEXT('KEY INPUTS'!D34+1,"0")&amp;" Interest on Bonds"</f>
        <v>2020 Interest on Bonds</v>
      </c>
      <c r="C25" s="1232"/>
      <c r="D25" s="1232"/>
      <c r="E25" s="1232"/>
      <c r="F25" s="1232"/>
      <c r="G25" s="1257"/>
      <c r="H25" s="488" t="s">
        <v>482</v>
      </c>
      <c r="I25" s="608"/>
      <c r="J25" s="489"/>
      <c r="K25" s="488"/>
      <c r="L25" s="498" t="s">
        <v>3406</v>
      </c>
    </row>
    <row r="26" spans="2:21" ht="21" customHeight="1" thickTop="1"/>
    <row r="27" spans="2:21" ht="19.5" customHeight="1" thickBot="1">
      <c r="B27" s="1935" t="str">
        <f>"INTEREST  ON  BONDS  -  "&amp;UPPER('KEY INPUTS'!D54)&amp;"  UTILITY  BUDGET"</f>
        <v>INTEREST  ON  BONDS  -    UTILITY  BUDGET</v>
      </c>
      <c r="C27" s="1935"/>
      <c r="D27" s="1935"/>
      <c r="E27" s="1935"/>
      <c r="F27" s="1935"/>
      <c r="G27" s="1935"/>
      <c r="H27" s="1935"/>
      <c r="I27" s="1935"/>
      <c r="J27" s="1935"/>
      <c r="K27" s="1935"/>
      <c r="L27" s="1935"/>
    </row>
    <row r="28" spans="2:21" ht="21" customHeight="1" thickTop="1">
      <c r="B28" s="1394" t="str">
        <f>TEXT('KEY INPUTS'!D34+1,"0")&amp;" Interest on Bonds (*Items)"</f>
        <v>2020 Interest on Bonds (*Items)</v>
      </c>
      <c r="C28" s="1170"/>
      <c r="D28" s="1170"/>
      <c r="E28" s="1170"/>
      <c r="F28" s="1170"/>
      <c r="G28" s="1170"/>
      <c r="H28" s="457" t="s">
        <v>482</v>
      </c>
      <c r="I28" s="1230">
        <f>+I14+I25</f>
        <v>0</v>
      </c>
      <c r="J28" s="1114"/>
      <c r="K28" s="1114"/>
      <c r="L28" s="1114"/>
      <c r="O28" s="464"/>
      <c r="P28" s="464"/>
      <c r="Q28" s="464"/>
      <c r="R28" s="464"/>
    </row>
    <row r="29" spans="2:21" ht="21" customHeight="1">
      <c r="B29" s="914" t="str">
        <f>"Less: Interest Accrued to "&amp;TEXT('KEY INPUTS'!D29,"mm/dd/yyy")&amp;" (Trial Balance)"</f>
        <v>Less: Interest Accrued to 12/31/2019 (Trial Balance)</v>
      </c>
      <c r="C29" s="690"/>
      <c r="D29" s="690"/>
      <c r="E29" s="690"/>
      <c r="F29" s="690"/>
      <c r="G29" s="690"/>
      <c r="H29" s="402" t="s">
        <v>482</v>
      </c>
      <c r="I29" s="672"/>
      <c r="O29" s="464"/>
      <c r="P29" s="464"/>
      <c r="Q29" s="464"/>
      <c r="R29" s="464"/>
    </row>
    <row r="30" spans="2:21" ht="21" customHeight="1">
      <c r="B30" s="690"/>
      <c r="C30" s="690" t="s">
        <v>421</v>
      </c>
      <c r="D30" s="690"/>
      <c r="E30" s="690"/>
      <c r="F30" s="690"/>
      <c r="G30" s="690"/>
      <c r="H30" s="402" t="s">
        <v>482</v>
      </c>
      <c r="I30" s="1231">
        <f>+I28-I29</f>
        <v>0</v>
      </c>
      <c r="O30" s="464"/>
      <c r="P30" s="464"/>
      <c r="Q30" s="464"/>
      <c r="R30" s="464"/>
    </row>
    <row r="31" spans="2:21" ht="21" customHeight="1">
      <c r="B31" s="914" t="str">
        <f>"Add: Interest to be Accrued as of "&amp;TEXT('KEY INPUTS'!D30,"mm/dd/yyyy")&amp;""</f>
        <v>Add: Interest to be Accrued as of 12/31/2020</v>
      </c>
      <c r="C31" s="690"/>
      <c r="D31" s="690"/>
      <c r="E31" s="690"/>
      <c r="F31" s="690"/>
      <c r="G31" s="690"/>
      <c r="H31" s="402" t="s">
        <v>482</v>
      </c>
      <c r="I31" s="672"/>
      <c r="O31" s="464"/>
      <c r="P31" s="464"/>
      <c r="Q31" s="464"/>
      <c r="R31" s="464"/>
    </row>
    <row r="32" spans="2:21" ht="21" customHeight="1">
      <c r="B32" s="914" t="str">
        <f>"Required Appropriation "&amp;TEXT('KEY INPUTS'!D34+1,"0")</f>
        <v>Required Appropriation 2020</v>
      </c>
      <c r="C32" s="690"/>
      <c r="D32" s="690"/>
      <c r="E32" s="690"/>
      <c r="F32" s="690"/>
      <c r="G32" s="690"/>
      <c r="H32" s="690"/>
      <c r="I32" s="1414"/>
      <c r="J32" s="491" t="s">
        <v>482</v>
      </c>
      <c r="K32" s="1824">
        <f>+I30+I31</f>
        <v>0</v>
      </c>
      <c r="L32" s="1825"/>
      <c r="O32" s="464"/>
      <c r="P32" s="464"/>
      <c r="Q32" s="464"/>
      <c r="R32" s="464"/>
    </row>
    <row r="33" spans="2:12" ht="13.5" customHeight="1">
      <c r="B33" s="467"/>
      <c r="C33" s="467"/>
      <c r="D33" s="467"/>
      <c r="E33" s="467"/>
      <c r="F33" s="467"/>
      <c r="G33" s="467"/>
      <c r="H33" s="467"/>
      <c r="I33" s="467"/>
      <c r="J33" s="467"/>
      <c r="K33" s="495"/>
      <c r="L33" s="783"/>
    </row>
    <row r="34" spans="2:12" ht="13.5" customHeight="1">
      <c r="B34" s="467"/>
      <c r="C34" s="467"/>
      <c r="D34" s="467"/>
      <c r="E34" s="467"/>
      <c r="F34" s="467"/>
      <c r="G34" s="467"/>
      <c r="H34" s="467"/>
      <c r="I34" s="467"/>
      <c r="J34" s="467"/>
      <c r="K34" s="495"/>
      <c r="L34" s="783"/>
    </row>
    <row r="35" spans="2:12" ht="21" customHeight="1" thickBot="1">
      <c r="B35" s="1938" t="str">
        <f>"LIST  OF  BONDS  ISSUED  DURING  "&amp;TEXT('KEY INPUTS'!D34,"0")&amp;""</f>
        <v>LIST  OF  BONDS  ISSUED  DURING  2019</v>
      </c>
      <c r="C35" s="1938"/>
      <c r="D35" s="1938"/>
      <c r="E35" s="1938"/>
      <c r="F35" s="1938"/>
      <c r="G35" s="1938"/>
      <c r="H35" s="1938"/>
      <c r="I35" s="1938"/>
      <c r="J35" s="1938"/>
      <c r="K35" s="1938"/>
      <c r="L35" s="1938"/>
    </row>
    <row r="36" spans="2:12" ht="27" customHeight="1" thickTop="1" thickBot="1">
      <c r="B36" s="1762" t="s">
        <v>532</v>
      </c>
      <c r="C36" s="1762"/>
      <c r="D36" s="1762"/>
      <c r="E36" s="1762"/>
      <c r="F36" s="1762"/>
      <c r="G36" s="1397" t="str">
        <f>TEXT('KEY INPUTS'!D34,"0")&amp;" Maturity"</f>
        <v>2019 Maturity</v>
      </c>
      <c r="H36" s="1932" t="s">
        <v>109</v>
      </c>
      <c r="I36" s="1763"/>
      <c r="J36" s="1953" t="s">
        <v>107</v>
      </c>
      <c r="K36" s="1954"/>
      <c r="L36" s="1413" t="s">
        <v>108</v>
      </c>
    </row>
    <row r="37" spans="2:12" ht="21" customHeight="1" thickTop="1">
      <c r="B37" s="673"/>
      <c r="C37" s="673"/>
      <c r="D37" s="673"/>
      <c r="E37" s="673"/>
      <c r="F37" s="673"/>
      <c r="G37" s="605"/>
      <c r="H37" s="1705"/>
      <c r="I37" s="1706"/>
      <c r="J37" s="1828"/>
      <c r="K37" s="1829"/>
      <c r="L37" s="917"/>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232"/>
      <c r="C41" s="1232"/>
      <c r="D41" s="1232"/>
      <c r="E41" s="1232"/>
      <c r="F41" s="1385"/>
      <c r="G41" s="1131">
        <f>SUM(G37:G40)</f>
        <v>0</v>
      </c>
      <c r="H41" s="1820">
        <f>SUM(H37:I40)</f>
        <v>0</v>
      </c>
      <c r="I41" s="1821"/>
      <c r="J41" s="1386"/>
      <c r="K41" s="1232"/>
      <c r="L41" s="1233"/>
    </row>
    <row r="42" spans="2:12" ht="13.8" thickTop="1">
      <c r="G42" s="782"/>
      <c r="H42" s="782"/>
      <c r="I42" s="782"/>
    </row>
    <row r="50" spans="2:12" ht="13.8">
      <c r="B50" s="1765" t="s">
        <v>3444</v>
      </c>
      <c r="C50" s="1765"/>
      <c r="D50" s="1765"/>
      <c r="E50" s="1765"/>
      <c r="F50" s="1765"/>
      <c r="G50" s="1765"/>
      <c r="H50" s="1765"/>
      <c r="I50" s="1765"/>
      <c r="J50" s="1765"/>
      <c r="K50" s="1765"/>
      <c r="L50" s="176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0:L50"/>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2">
    <tabColor theme="5" tint="0.59999389629810485"/>
  </sheetPr>
  <dimension ref="B2: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2" spans="2:21" ht="20.399999999999999">
      <c r="B2" s="1870" t="s">
        <v>606</v>
      </c>
      <c r="C2" s="1870"/>
      <c r="D2" s="1870"/>
      <c r="E2" s="1870"/>
      <c r="F2" s="1870"/>
      <c r="G2" s="1870"/>
      <c r="H2" s="1870"/>
      <c r="I2" s="1870"/>
      <c r="J2" s="1870"/>
      <c r="K2" s="1870"/>
      <c r="L2" s="1870"/>
    </row>
    <row r="3" spans="2:21" ht="20.399999999999999">
      <c r="B3" s="1788" t="str">
        <f>"AND  "&amp;TEXT('KEY INPUTS'!D34+1,"0")&amp;"  DEBT  SERVICE  FOR  LOANS"</f>
        <v>AND  2020  DEBT  SERVICE  FOR  LOANS</v>
      </c>
      <c r="C3" s="1788"/>
      <c r="D3" s="1788"/>
      <c r="E3" s="1788"/>
      <c r="F3" s="1788"/>
      <c r="G3" s="1788"/>
      <c r="H3" s="1788"/>
      <c r="I3" s="1788"/>
      <c r="J3" s="1788"/>
      <c r="K3" s="1788"/>
      <c r="L3" s="1788"/>
    </row>
    <row r="4" spans="2:21" ht="15.6">
      <c r="B4" s="1761" t="str">
        <f>UPPER('KEY INPUTS'!D$54)&amp;"  UTILITY"&amp;" ________________ LOAN"</f>
        <v xml:space="preserve">  UTILITY ________________ LOAN</v>
      </c>
      <c r="C4" s="1761"/>
      <c r="D4" s="1761"/>
      <c r="E4" s="1761"/>
      <c r="F4" s="1761"/>
      <c r="G4" s="1761"/>
      <c r="H4" s="1761"/>
      <c r="I4" s="1761"/>
      <c r="J4" s="1761"/>
      <c r="K4" s="1761"/>
      <c r="L4" s="1761"/>
    </row>
    <row r="5" spans="2:21" ht="9.75" customHeight="1" thickBot="1">
      <c r="B5" s="1387"/>
      <c r="C5" s="1387"/>
      <c r="D5" s="1387"/>
      <c r="E5" s="1387"/>
      <c r="F5" s="1387"/>
      <c r="G5" s="1387"/>
      <c r="H5" s="1387"/>
      <c r="I5" s="1387"/>
      <c r="J5" s="1387"/>
      <c r="K5" s="1387"/>
      <c r="L5" s="1387"/>
    </row>
    <row r="6" spans="2:21" ht="27.75" customHeight="1" thickTop="1" thickBot="1">
      <c r="B6" s="1388"/>
      <c r="C6" s="1388"/>
      <c r="D6" s="1388"/>
      <c r="E6" s="1388"/>
      <c r="F6" s="1388"/>
      <c r="G6" s="1134" t="s">
        <v>125</v>
      </c>
      <c r="H6" s="1937" t="s">
        <v>126</v>
      </c>
      <c r="I6" s="1786"/>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58"/>
      <c r="D7" s="1158"/>
      <c r="E7" s="1158"/>
      <c r="F7" s="1158"/>
      <c r="G7" s="1088" t="s">
        <v>787</v>
      </c>
      <c r="H7" s="1705"/>
      <c r="I7" s="1706"/>
      <c r="O7" s="322"/>
      <c r="P7" s="322"/>
      <c r="Q7" s="322"/>
      <c r="R7" s="322"/>
      <c r="S7" s="322"/>
      <c r="T7" s="322"/>
      <c r="U7" s="322"/>
    </row>
    <row r="8" spans="2:21" ht="21" customHeight="1">
      <c r="B8" s="690" t="s">
        <v>113</v>
      </c>
      <c r="C8" s="1139"/>
      <c r="D8" s="1139"/>
      <c r="E8" s="1139"/>
      <c r="F8" s="1139"/>
      <c r="G8" s="973" t="s">
        <v>787</v>
      </c>
      <c r="H8" s="1679"/>
      <c r="I8" s="1680"/>
      <c r="O8" s="377"/>
      <c r="P8" s="322"/>
      <c r="Q8" s="322"/>
      <c r="R8" s="322"/>
      <c r="S8" s="322"/>
      <c r="T8" s="322"/>
      <c r="U8" s="322"/>
    </row>
    <row r="9" spans="2:21" ht="21" customHeight="1">
      <c r="B9" s="690"/>
      <c r="C9" s="1139"/>
      <c r="D9" s="1139"/>
      <c r="E9" s="1139"/>
      <c r="F9" s="1139"/>
      <c r="G9" s="973"/>
      <c r="H9" s="1389"/>
      <c r="I9" s="1390"/>
      <c r="O9" s="322"/>
      <c r="P9" s="322"/>
      <c r="Q9" s="322"/>
      <c r="R9" s="322"/>
      <c r="S9" s="322"/>
      <c r="T9" s="322"/>
      <c r="U9" s="322"/>
    </row>
    <row r="10" spans="2:21" ht="21" customHeight="1">
      <c r="B10" s="690" t="s">
        <v>326</v>
      </c>
      <c r="C10" s="1139"/>
      <c r="D10" s="1139"/>
      <c r="E10" s="1139"/>
      <c r="F10" s="1139"/>
      <c r="G10" s="601"/>
      <c r="H10" s="1685" t="s">
        <v>787</v>
      </c>
      <c r="I10" s="1686"/>
      <c r="O10" s="322"/>
      <c r="P10" s="322"/>
      <c r="Q10" s="322"/>
      <c r="R10" s="322"/>
      <c r="S10" s="322"/>
      <c r="T10" s="322"/>
      <c r="U10" s="322"/>
    </row>
    <row r="11" spans="2:21" ht="21" customHeight="1" thickBot="1">
      <c r="B11" s="690" t="str">
        <f>'KEY INPUTS'!D28</f>
        <v>Outstanding - December 31, 2019</v>
      </c>
      <c r="C11" s="1139"/>
      <c r="D11" s="1139"/>
      <c r="E11" s="1139"/>
      <c r="F11" s="1139"/>
      <c r="G11" s="1089">
        <f>+H7+H8-G10</f>
        <v>0</v>
      </c>
      <c r="H11" s="1677" t="s">
        <v>787</v>
      </c>
      <c r="I11" s="1678"/>
      <c r="O11" s="322"/>
      <c r="P11" s="322"/>
      <c r="Q11" s="322"/>
      <c r="R11" s="322"/>
      <c r="S11" s="322"/>
      <c r="T11" s="322"/>
      <c r="U11" s="322"/>
    </row>
    <row r="12" spans="2:21" ht="21" customHeight="1" thickBot="1">
      <c r="B12" s="1114"/>
      <c r="C12" s="1146"/>
      <c r="D12" s="1146"/>
      <c r="E12" s="1146"/>
      <c r="F12" s="1146"/>
      <c r="G12" s="137">
        <f>SUM(G7:G11)</f>
        <v>0</v>
      </c>
      <c r="H12" s="1683">
        <f>SUM(H7:I11)</f>
        <v>0</v>
      </c>
      <c r="I12" s="1684"/>
      <c r="O12" s="322"/>
      <c r="P12" s="322"/>
      <c r="Q12" s="322"/>
      <c r="R12" s="322"/>
      <c r="S12" s="322"/>
      <c r="T12" s="322"/>
      <c r="U12" s="322"/>
    </row>
    <row r="13" spans="2:21" ht="21" customHeight="1" thickTop="1">
      <c r="B13" s="1382" t="str">
        <f>TEXT('KEY INPUTS'!D34+1,"0")&amp;" Loan Maturities"</f>
        <v>2020 Loan Maturities</v>
      </c>
      <c r="C13" s="1391"/>
      <c r="D13" s="1391"/>
      <c r="E13" s="1391"/>
      <c r="F13" s="1391"/>
      <c r="G13" s="1391"/>
      <c r="H13" s="1391"/>
      <c r="I13" s="1392"/>
      <c r="J13" s="479" t="s">
        <v>482</v>
      </c>
      <c r="K13" s="1714"/>
      <c r="L13" s="1714"/>
      <c r="O13" s="322"/>
      <c r="P13" s="322"/>
      <c r="Q13" s="322"/>
      <c r="R13" s="322"/>
      <c r="S13" s="322"/>
      <c r="T13" s="322"/>
      <c r="U13" s="322"/>
    </row>
    <row r="14" spans="2:21" ht="21" customHeight="1" thickBot="1">
      <c r="B14" s="1383" t="str">
        <f>TEXT('KEY INPUTS'!D34+1,"0")&amp;" Interest on Loans"</f>
        <v>2020 Interest on Loans</v>
      </c>
      <c r="C14" s="1162"/>
      <c r="D14" s="1162"/>
      <c r="E14" s="1162"/>
      <c r="F14" s="1162"/>
      <c r="G14" s="1375"/>
      <c r="H14" s="413" t="s">
        <v>482</v>
      </c>
      <c r="I14" s="674"/>
      <c r="O14" s="322"/>
      <c r="P14" s="322"/>
      <c r="Q14" s="322"/>
      <c r="R14" s="322"/>
      <c r="S14" s="322"/>
      <c r="T14" s="322"/>
      <c r="U14" s="322"/>
    </row>
    <row r="15" spans="2:21" ht="16.5" customHeight="1" thickTop="1">
      <c r="B15" s="1858"/>
      <c r="C15" s="1858"/>
      <c r="D15" s="1858"/>
      <c r="E15" s="1858"/>
      <c r="F15" s="1858"/>
      <c r="G15" s="1858"/>
      <c r="H15" s="1858"/>
      <c r="I15" s="1859"/>
      <c r="O15" s="322"/>
      <c r="P15" s="322"/>
      <c r="Q15" s="322"/>
      <c r="R15" s="322"/>
      <c r="S15" s="322"/>
      <c r="T15" s="322"/>
      <c r="U15" s="322"/>
    </row>
    <row r="16" spans="2:21" ht="26.25" customHeight="1" thickBot="1">
      <c r="B16" s="1935" t="str">
        <f>UPPER('KEY INPUTS'!D$54)&amp;"  UTILITY"&amp;" ________________ LOAN"</f>
        <v xml:space="preserve">  UTILITY ________________ LOAN</v>
      </c>
      <c r="C16" s="1935"/>
      <c r="D16" s="1935"/>
      <c r="E16" s="1935"/>
      <c r="F16" s="1935"/>
      <c r="G16" s="1935"/>
      <c r="H16" s="1935"/>
      <c r="I16" s="1936"/>
      <c r="O16" s="322"/>
      <c r="P16" s="322"/>
      <c r="Q16" s="322"/>
      <c r="R16" s="322"/>
      <c r="S16" s="322"/>
      <c r="T16" s="322"/>
      <c r="U16" s="322"/>
    </row>
    <row r="17" spans="2:21" ht="21" customHeight="1" thickTop="1">
      <c r="B17" s="1211" t="str">
        <f>'KEY INPUTS'!D27</f>
        <v>Outstanding - January 1, 2019</v>
      </c>
      <c r="C17" s="1158"/>
      <c r="D17" s="1158"/>
      <c r="E17" s="1158"/>
      <c r="F17" s="1158"/>
      <c r="G17" s="1088" t="s">
        <v>787</v>
      </c>
      <c r="H17" s="1705"/>
      <c r="I17" s="1706"/>
      <c r="O17" s="322"/>
      <c r="P17" s="322"/>
      <c r="Q17" s="322"/>
      <c r="R17" s="322"/>
      <c r="S17" s="322"/>
      <c r="T17" s="322"/>
      <c r="U17" s="322"/>
    </row>
    <row r="18" spans="2:21" ht="21" customHeight="1">
      <c r="B18" s="690" t="s">
        <v>113</v>
      </c>
      <c r="C18" s="1139"/>
      <c r="D18" s="1139"/>
      <c r="E18" s="1139"/>
      <c r="F18" s="1139"/>
      <c r="G18" s="973" t="s">
        <v>787</v>
      </c>
      <c r="H18" s="1679"/>
      <c r="I18" s="1680"/>
      <c r="O18" s="322"/>
      <c r="P18" s="322"/>
      <c r="Q18" s="322"/>
      <c r="R18" s="322"/>
      <c r="S18" s="322"/>
      <c r="T18" s="322"/>
      <c r="U18" s="322"/>
    </row>
    <row r="19" spans="2:21" ht="21" customHeight="1">
      <c r="B19" s="690" t="s">
        <v>326</v>
      </c>
      <c r="C19" s="1139"/>
      <c r="D19" s="1139"/>
      <c r="E19" s="1139"/>
      <c r="F19" s="1139"/>
      <c r="G19" s="601"/>
      <c r="H19" s="1685" t="s">
        <v>787</v>
      </c>
      <c r="I19" s="1686"/>
      <c r="O19" s="322"/>
      <c r="P19" s="322"/>
      <c r="Q19" s="322"/>
      <c r="R19" s="322"/>
      <c r="S19" s="322"/>
      <c r="T19" s="322"/>
      <c r="U19" s="322"/>
    </row>
    <row r="20" spans="2:21" ht="21" customHeight="1">
      <c r="B20" s="690"/>
      <c r="C20" s="1139"/>
      <c r="D20" s="1139"/>
      <c r="E20" s="1139"/>
      <c r="F20" s="1139"/>
      <c r="G20" s="1105"/>
      <c r="H20" s="1707"/>
      <c r="I20" s="1708"/>
      <c r="O20" s="322"/>
      <c r="P20" s="322"/>
      <c r="Q20" s="322"/>
      <c r="R20" s="322"/>
      <c r="S20" s="322"/>
      <c r="T20" s="322"/>
      <c r="U20" s="322"/>
    </row>
    <row r="21" spans="2:21" ht="21" customHeight="1">
      <c r="B21" s="690"/>
      <c r="C21" s="1139"/>
      <c r="D21" s="1139"/>
      <c r="E21" s="1139"/>
      <c r="F21" s="1139"/>
      <c r="G21" s="1105"/>
      <c r="H21" s="1707"/>
      <c r="I21" s="1708"/>
      <c r="O21" s="322"/>
      <c r="P21" s="322"/>
      <c r="Q21" s="322"/>
      <c r="R21" s="322"/>
      <c r="S21" s="322"/>
      <c r="T21" s="322"/>
      <c r="U21" s="322"/>
    </row>
    <row r="22" spans="2:21" ht="21" customHeight="1" thickBot="1">
      <c r="B22" s="690" t="str">
        <f>'KEY INPUTS'!D28</f>
        <v>Outstanding - December 31, 2019</v>
      </c>
      <c r="C22" s="1139"/>
      <c r="D22" s="1139"/>
      <c r="E22" s="1139"/>
      <c r="F22" s="1139"/>
      <c r="G22" s="1089">
        <f>+H17+H18-G19-G20-G21+H20+H21</f>
        <v>0</v>
      </c>
      <c r="H22" s="1677" t="s">
        <v>787</v>
      </c>
      <c r="I22" s="1678"/>
      <c r="O22" s="322"/>
      <c r="P22" s="322"/>
      <c r="Q22" s="322"/>
      <c r="R22" s="322"/>
      <c r="S22" s="322"/>
      <c r="T22" s="322"/>
      <c r="U22" s="322"/>
    </row>
    <row r="23" spans="2:21" ht="21" customHeight="1" thickBot="1">
      <c r="B23" s="1114"/>
      <c r="C23" s="1146"/>
      <c r="D23" s="1146"/>
      <c r="E23" s="1146"/>
      <c r="F23" s="1146"/>
      <c r="G23" s="1083">
        <f>SUM(G17:G22)</f>
        <v>0</v>
      </c>
      <c r="H23" s="1683">
        <f>SUM(H17:I22)</f>
        <v>0</v>
      </c>
      <c r="I23" s="1684"/>
    </row>
    <row r="24" spans="2:21" ht="21" customHeight="1" thickTop="1">
      <c r="B24" s="1382" t="str">
        <f>TEXT('KEY INPUTS'!D34+1,"0")&amp;" Loan Maturities"</f>
        <v>2020 Loan Maturities</v>
      </c>
      <c r="C24" s="1391"/>
      <c r="D24" s="1391"/>
      <c r="E24" s="1391"/>
      <c r="F24" s="1391"/>
      <c r="G24" s="1391"/>
      <c r="H24" s="479"/>
      <c r="I24" s="515"/>
      <c r="J24" s="479" t="s">
        <v>482</v>
      </c>
      <c r="K24" s="1714"/>
      <c r="L24" s="1714"/>
    </row>
    <row r="25" spans="2:21" ht="21" customHeight="1" thickBot="1">
      <c r="B25" s="1383" t="str">
        <f>TEXT('KEY INPUTS'!D34+1,"0")&amp;" Interest on Loans"</f>
        <v>2020 Interest on Loans</v>
      </c>
      <c r="C25" s="1162"/>
      <c r="D25" s="1162"/>
      <c r="E25" s="1162"/>
      <c r="F25" s="1162"/>
      <c r="G25" s="1375"/>
      <c r="H25" s="413" t="s">
        <v>482</v>
      </c>
      <c r="I25" s="608"/>
      <c r="J25" s="505"/>
      <c r="K25" s="413"/>
      <c r="L25" s="413"/>
    </row>
    <row r="26" spans="2:21" ht="21" customHeight="1" thickTop="1"/>
    <row r="27" spans="2:21" ht="19.5" customHeight="1" thickBot="1">
      <c r="B27" s="1935" t="str">
        <f>"INTEREST  ON  LOANS  - "&amp;UPPER('KEY INPUTS'!D54)&amp;"  UTILITY  BUDGET"</f>
        <v>INTEREST  ON  LOANS  -   UTILITY  BUDGET</v>
      </c>
      <c r="C27" s="1935"/>
      <c r="D27" s="1935"/>
      <c r="E27" s="1935"/>
      <c r="F27" s="1935"/>
      <c r="G27" s="1935"/>
      <c r="H27" s="1935"/>
      <c r="I27" s="1935"/>
      <c r="J27" s="1935"/>
      <c r="K27" s="1935"/>
      <c r="L27" s="1935"/>
    </row>
    <row r="28" spans="2:21" ht="21" customHeight="1" thickTop="1">
      <c r="B28" s="1394" t="str">
        <f>TEXT('KEY INPUTS'!D34+1,"0")&amp;" Interest on Loans (*Items)"</f>
        <v>2020 Interest on Loans (*Items)</v>
      </c>
      <c r="C28" s="1170"/>
      <c r="D28" s="1158"/>
      <c r="E28" s="1158"/>
      <c r="F28" s="1158"/>
      <c r="G28" s="1158"/>
      <c r="H28" s="415" t="s">
        <v>482</v>
      </c>
      <c r="I28" s="1393">
        <f>+I25+I14</f>
        <v>0</v>
      </c>
    </row>
    <row r="29" spans="2:21" ht="21" customHeight="1">
      <c r="B29" s="914" t="str">
        <f>"Less: Interest Accrued to "&amp;TEXT('KEY INPUTS'!D29,"mm/dd/yyy")&amp;" (Trial Balance)"</f>
        <v>Less: Interest Accrued to 12/31/2019 (Trial Balance)</v>
      </c>
      <c r="C29" s="690"/>
      <c r="D29" s="1139"/>
      <c r="E29" s="1139"/>
      <c r="F29" s="1139"/>
      <c r="G29" s="1139"/>
      <c r="H29" s="334" t="s">
        <v>482</v>
      </c>
      <c r="I29" s="600"/>
    </row>
    <row r="30" spans="2:21" ht="21" customHeight="1">
      <c r="B30" s="690"/>
      <c r="C30" s="690" t="s">
        <v>421</v>
      </c>
      <c r="D30" s="1139"/>
      <c r="E30" s="1139"/>
      <c r="F30" s="1139"/>
      <c r="G30" s="1139"/>
      <c r="H30" s="334" t="s">
        <v>482</v>
      </c>
      <c r="I30" s="1395">
        <f>+I28-I29</f>
        <v>0</v>
      </c>
    </row>
    <row r="31" spans="2:21" ht="21" customHeight="1">
      <c r="B31" s="914" t="str">
        <f>"Add: Interest to be Accrued as of "&amp;TEXT('KEY INPUTS'!D30,"mm/dd/yyyy")&amp;""</f>
        <v>Add: Interest to be Accrued as of 12/31/2020</v>
      </c>
      <c r="C31" s="690"/>
      <c r="D31" s="1139"/>
      <c r="E31" s="1139"/>
      <c r="F31" s="1139"/>
      <c r="G31" s="1139"/>
      <c r="H31" s="334" t="s">
        <v>482</v>
      </c>
      <c r="I31" s="600"/>
    </row>
    <row r="32" spans="2:21" ht="21" customHeight="1">
      <c r="B32" s="914" t="str">
        <f>"Required Appropriation "&amp;TEXT('KEY INPUTS'!D34+1,"0")</f>
        <v>Required Appropriation 2020</v>
      </c>
      <c r="C32" s="690"/>
      <c r="D32" s="1139"/>
      <c r="E32" s="1139"/>
      <c r="F32" s="1139"/>
      <c r="G32" s="1139"/>
      <c r="H32" s="334"/>
      <c r="I32" s="414"/>
      <c r="J32" s="506" t="s">
        <v>482</v>
      </c>
      <c r="K32" s="1939">
        <f>+I30+I31</f>
        <v>0</v>
      </c>
      <c r="L32" s="1940"/>
    </row>
    <row r="33" spans="2:12" ht="13.5" customHeight="1">
      <c r="B33" s="510"/>
      <c r="C33" s="510"/>
      <c r="D33" s="510"/>
      <c r="E33" s="510"/>
      <c r="F33" s="510"/>
      <c r="G33" s="510"/>
      <c r="H33" s="510"/>
      <c r="I33" s="510"/>
      <c r="J33" s="510"/>
      <c r="K33" s="509"/>
      <c r="L33" s="787"/>
    </row>
    <row r="34" spans="2:12" ht="13.5" customHeight="1">
      <c r="B34" s="510"/>
      <c r="C34" s="510"/>
      <c r="D34" s="510"/>
      <c r="E34" s="510"/>
      <c r="F34" s="510"/>
      <c r="G34" s="510"/>
      <c r="H34" s="510"/>
      <c r="I34" s="510"/>
      <c r="J34" s="510"/>
      <c r="K34" s="509"/>
      <c r="L34" s="787"/>
    </row>
    <row r="35" spans="2:12" ht="21" customHeight="1" thickBot="1">
      <c r="B35" s="1938" t="str">
        <f>"LIST  OF  LOANS  ISSUED  DURING  "&amp;TEXT('KEY INPUTS'!D34,"0")&amp;""</f>
        <v>LIST  OF  LOANS  ISSUED  DURING  2019</v>
      </c>
      <c r="C35" s="1938"/>
      <c r="D35" s="1938"/>
      <c r="E35" s="1938"/>
      <c r="F35" s="1938"/>
      <c r="G35" s="1938"/>
      <c r="H35" s="1938"/>
      <c r="I35" s="1938"/>
      <c r="J35" s="1938"/>
      <c r="K35" s="1938"/>
      <c r="L35" s="1938"/>
    </row>
    <row r="36" spans="2:12" ht="27" customHeight="1" thickTop="1" thickBot="1">
      <c r="B36" s="1785" t="s">
        <v>532</v>
      </c>
      <c r="C36" s="1785"/>
      <c r="D36" s="1785"/>
      <c r="E36" s="1785"/>
      <c r="F36" s="1785"/>
      <c r="G36" s="1397" t="str">
        <f>TEXT('KEY INPUTS'!D34,"0")&amp;" Maturity"</f>
        <v>2019 Maturity</v>
      </c>
      <c r="H36" s="1937" t="s">
        <v>109</v>
      </c>
      <c r="I36" s="1786"/>
      <c r="J36" s="1941" t="s">
        <v>107</v>
      </c>
      <c r="K36" s="1942"/>
      <c r="L36" s="1398"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162"/>
      <c r="C41" s="1162"/>
      <c r="D41" s="1162"/>
      <c r="E41" s="1162"/>
      <c r="F41" s="1163"/>
      <c r="G41" s="1083">
        <f>SUM(G37:G40)</f>
        <v>0</v>
      </c>
      <c r="H41" s="1703">
        <f>SUM(H37:I40)</f>
        <v>0</v>
      </c>
      <c r="I41" s="1704"/>
      <c r="J41" s="1396"/>
      <c r="K41" s="1162"/>
      <c r="L41" s="1156"/>
    </row>
    <row r="42" spans="2:12" ht="13.8" thickTop="1">
      <c r="G42" s="504"/>
      <c r="H42" s="504"/>
      <c r="I42" s="504"/>
    </row>
    <row r="51" spans="2:12" ht="13.8">
      <c r="B51" s="1812" t="s">
        <v>3445</v>
      </c>
      <c r="C51" s="1812"/>
      <c r="D51" s="1812"/>
      <c r="E51" s="1812"/>
      <c r="F51" s="1812"/>
      <c r="G51" s="1812"/>
      <c r="H51" s="1812"/>
      <c r="I51" s="1812"/>
      <c r="J51" s="1812"/>
      <c r="K51" s="1812"/>
      <c r="L51" s="1812"/>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3">
    <tabColor theme="5" tint="0.59999389629810485"/>
  </sheetPr>
  <dimension ref="B2: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2" spans="2:21" ht="20.399999999999999">
      <c r="B2" s="1870" t="s">
        <v>606</v>
      </c>
      <c r="C2" s="1870"/>
      <c r="D2" s="1870"/>
      <c r="E2" s="1870"/>
      <c r="F2" s="1870"/>
      <c r="G2" s="1870"/>
      <c r="H2" s="1870"/>
      <c r="I2" s="1870"/>
      <c r="J2" s="1870"/>
      <c r="K2" s="1870"/>
      <c r="L2" s="1870"/>
    </row>
    <row r="3" spans="2:21" ht="20.399999999999999">
      <c r="B3" s="1788" t="str">
        <f>"AND  "&amp;TEXT('KEY INPUTS'!D34+1,"0")&amp;"  DEBT  SERVICE  FOR  LOANS"</f>
        <v>AND  2020  DEBT  SERVICE  FOR  LOANS</v>
      </c>
      <c r="C3" s="1788"/>
      <c r="D3" s="1788"/>
      <c r="E3" s="1788"/>
      <c r="F3" s="1788"/>
      <c r="G3" s="1788"/>
      <c r="H3" s="1788"/>
      <c r="I3" s="1788"/>
      <c r="J3" s="1788"/>
      <c r="K3" s="1788"/>
      <c r="L3" s="1788"/>
    </row>
    <row r="4" spans="2:21" ht="15.6">
      <c r="B4" s="1761" t="str">
        <f>UPPER('KEY INPUTS'!D$54)&amp;"  UTILITY"&amp;" ________________ LOAN"</f>
        <v xml:space="preserve">  UTILITY ________________ LOAN</v>
      </c>
      <c r="C4" s="1761"/>
      <c r="D4" s="1761"/>
      <c r="E4" s="1761"/>
      <c r="F4" s="1761"/>
      <c r="G4" s="1761"/>
      <c r="H4" s="1761"/>
      <c r="I4" s="1761"/>
      <c r="J4" s="1761"/>
      <c r="K4" s="1761"/>
      <c r="L4" s="1761"/>
    </row>
    <row r="5" spans="2:21" ht="9.75" customHeight="1" thickBot="1">
      <c r="B5" s="807"/>
      <c r="C5" s="807"/>
      <c r="D5" s="807"/>
      <c r="E5" s="807"/>
      <c r="F5" s="807"/>
      <c r="G5" s="807"/>
      <c r="H5" s="807"/>
      <c r="I5" s="807"/>
      <c r="J5" s="807"/>
      <c r="K5" s="807"/>
      <c r="L5" s="807"/>
    </row>
    <row r="6" spans="2:21" ht="27.75" customHeight="1" thickTop="1" thickBot="1">
      <c r="B6" s="1388"/>
      <c r="C6" s="1388"/>
      <c r="D6" s="1388"/>
      <c r="E6" s="1388"/>
      <c r="F6" s="1388"/>
      <c r="G6" s="1134" t="s">
        <v>125</v>
      </c>
      <c r="H6" s="1937" t="s">
        <v>126</v>
      </c>
      <c r="I6" s="1786"/>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58"/>
      <c r="D7" s="1158"/>
      <c r="E7" s="1158"/>
      <c r="F7" s="1158"/>
      <c r="G7" s="1088" t="s">
        <v>787</v>
      </c>
      <c r="H7" s="1705"/>
      <c r="I7" s="1706"/>
      <c r="O7" s="322"/>
      <c r="P7" s="322"/>
      <c r="Q7" s="322"/>
      <c r="R7" s="322"/>
      <c r="S7" s="322"/>
      <c r="T7" s="322"/>
      <c r="U7" s="322"/>
    </row>
    <row r="8" spans="2:21" ht="21" customHeight="1">
      <c r="B8" s="690" t="s">
        <v>113</v>
      </c>
      <c r="C8" s="1139"/>
      <c r="D8" s="1139"/>
      <c r="E8" s="1139"/>
      <c r="F8" s="1139"/>
      <c r="G8" s="973" t="s">
        <v>787</v>
      </c>
      <c r="H8" s="1679"/>
      <c r="I8" s="1680"/>
      <c r="O8" s="377"/>
      <c r="P8" s="322"/>
      <c r="Q8" s="322"/>
      <c r="R8" s="322"/>
      <c r="S8" s="322"/>
      <c r="T8" s="322"/>
      <c r="U8" s="322"/>
    </row>
    <row r="9" spans="2:21" ht="21" customHeight="1">
      <c r="B9" s="690"/>
      <c r="C9" s="1139"/>
      <c r="D9" s="1139"/>
      <c r="E9" s="1139"/>
      <c r="F9" s="1139"/>
      <c r="G9" s="973"/>
      <c r="H9" s="1389"/>
      <c r="I9" s="1390"/>
      <c r="O9" s="322"/>
      <c r="P9" s="322"/>
      <c r="Q9" s="322"/>
      <c r="R9" s="322"/>
      <c r="S9" s="322"/>
      <c r="T9" s="322"/>
      <c r="U9" s="322"/>
    </row>
    <row r="10" spans="2:21" ht="21" customHeight="1">
      <c r="B10" s="690" t="s">
        <v>326</v>
      </c>
      <c r="C10" s="1139"/>
      <c r="D10" s="1139"/>
      <c r="E10" s="1139"/>
      <c r="F10" s="1139"/>
      <c r="G10" s="601"/>
      <c r="H10" s="1685" t="s">
        <v>787</v>
      </c>
      <c r="I10" s="1686"/>
      <c r="O10" s="322"/>
      <c r="P10" s="322"/>
      <c r="Q10" s="322"/>
      <c r="R10" s="322"/>
      <c r="S10" s="322"/>
      <c r="T10" s="322"/>
      <c r="U10" s="322"/>
    </row>
    <row r="11" spans="2:21" ht="21" customHeight="1" thickBot="1">
      <c r="B11" s="690" t="str">
        <f>'KEY INPUTS'!D28</f>
        <v>Outstanding - December 31, 2019</v>
      </c>
      <c r="C11" s="1139"/>
      <c r="D11" s="1139"/>
      <c r="E11" s="1139"/>
      <c r="F11" s="1139"/>
      <c r="G11" s="1089">
        <f>+H7+H8-G10</f>
        <v>0</v>
      </c>
      <c r="H11" s="1677" t="s">
        <v>787</v>
      </c>
      <c r="I11" s="1678"/>
      <c r="O11" s="322"/>
      <c r="P11" s="322"/>
      <c r="Q11" s="322"/>
      <c r="R11" s="322"/>
      <c r="S11" s="322"/>
      <c r="T11" s="322"/>
      <c r="U11" s="322"/>
    </row>
    <row r="12" spans="2:21" ht="21" customHeight="1" thickBot="1">
      <c r="B12" s="1114"/>
      <c r="C12" s="1146"/>
      <c r="D12" s="1146"/>
      <c r="E12" s="1146"/>
      <c r="F12" s="1146"/>
      <c r="G12" s="1083">
        <f>SUM(G7:G11)</f>
        <v>0</v>
      </c>
      <c r="H12" s="1683">
        <f>SUM(H7:I11)</f>
        <v>0</v>
      </c>
      <c r="I12" s="1684"/>
      <c r="O12" s="322"/>
      <c r="P12" s="322"/>
      <c r="Q12" s="322"/>
      <c r="R12" s="322"/>
      <c r="S12" s="322"/>
      <c r="T12" s="322"/>
      <c r="U12" s="322"/>
    </row>
    <row r="13" spans="2:21" ht="21" customHeight="1" thickTop="1">
      <c r="B13" s="1382" t="str">
        <f>TEXT('KEY INPUTS'!D34+1,"0")&amp;" Loan Maturities"</f>
        <v>2020 Loan Maturities</v>
      </c>
      <c r="C13" s="1391"/>
      <c r="D13" s="1391"/>
      <c r="E13" s="1391"/>
      <c r="F13" s="1391"/>
      <c r="G13" s="1391"/>
      <c r="H13" s="1391"/>
      <c r="I13" s="1392"/>
      <c r="J13" s="479" t="s">
        <v>482</v>
      </c>
      <c r="K13" s="1714"/>
      <c r="L13" s="1714"/>
      <c r="O13" s="322"/>
      <c r="P13" s="322"/>
      <c r="Q13" s="322"/>
      <c r="R13" s="322"/>
      <c r="S13" s="322"/>
      <c r="T13" s="322"/>
      <c r="U13" s="322"/>
    </row>
    <row r="14" spans="2:21" ht="21" customHeight="1" thickBot="1">
      <c r="B14" s="1383" t="str">
        <f>TEXT('KEY INPUTS'!D34+1,"0")&amp;" Interest on Loans"</f>
        <v>2020 Interest on Loans</v>
      </c>
      <c r="C14" s="1162"/>
      <c r="D14" s="1162"/>
      <c r="E14" s="1162"/>
      <c r="F14" s="1162"/>
      <c r="G14" s="1375"/>
      <c r="H14" s="413" t="s">
        <v>482</v>
      </c>
      <c r="I14" s="674"/>
      <c r="O14" s="322"/>
      <c r="P14" s="322"/>
      <c r="Q14" s="322"/>
      <c r="R14" s="322"/>
      <c r="S14" s="322"/>
      <c r="T14" s="322"/>
      <c r="U14" s="322"/>
    </row>
    <row r="15" spans="2:21" ht="16.5" customHeight="1" thickTop="1">
      <c r="B15" s="1858"/>
      <c r="C15" s="1858"/>
      <c r="D15" s="1858"/>
      <c r="E15" s="1858"/>
      <c r="F15" s="1858"/>
      <c r="G15" s="1858"/>
      <c r="H15" s="1858"/>
      <c r="I15" s="1859"/>
      <c r="O15" s="322"/>
      <c r="P15" s="322"/>
      <c r="Q15" s="322"/>
      <c r="R15" s="322"/>
      <c r="S15" s="322"/>
      <c r="T15" s="322"/>
      <c r="U15" s="322"/>
    </row>
    <row r="16" spans="2:21" ht="26.25" customHeight="1" thickBot="1">
      <c r="B16" s="1935" t="str">
        <f>UPPER('KEY INPUTS'!D$54)&amp;"  UTILITY"&amp;" ________________ LOAN"</f>
        <v xml:space="preserve">  UTILITY ________________ LOAN</v>
      </c>
      <c r="C16" s="1935"/>
      <c r="D16" s="1935"/>
      <c r="E16" s="1935"/>
      <c r="F16" s="1935"/>
      <c r="G16" s="1935"/>
      <c r="H16" s="1935"/>
      <c r="I16" s="1936"/>
      <c r="O16" s="322"/>
      <c r="P16" s="322"/>
      <c r="Q16" s="322"/>
      <c r="R16" s="322"/>
      <c r="S16" s="322"/>
      <c r="T16" s="322"/>
      <c r="U16" s="322"/>
    </row>
    <row r="17" spans="2:21" ht="21" customHeight="1" thickTop="1">
      <c r="B17" s="1211" t="str">
        <f>'KEY INPUTS'!D27</f>
        <v>Outstanding - January 1, 2019</v>
      </c>
      <c r="C17" s="1158"/>
      <c r="D17" s="1158"/>
      <c r="E17" s="1158"/>
      <c r="F17" s="1158"/>
      <c r="G17" s="1088" t="s">
        <v>787</v>
      </c>
      <c r="H17" s="1705"/>
      <c r="I17" s="1706"/>
      <c r="O17" s="322"/>
      <c r="P17" s="322"/>
      <c r="Q17" s="322"/>
      <c r="R17" s="322"/>
      <c r="S17" s="322"/>
      <c r="T17" s="322"/>
      <c r="U17" s="322"/>
    </row>
    <row r="18" spans="2:21" ht="21" customHeight="1">
      <c r="B18" s="690" t="s">
        <v>113</v>
      </c>
      <c r="C18" s="1139"/>
      <c r="D18" s="1139"/>
      <c r="E18" s="1139"/>
      <c r="F18" s="1139"/>
      <c r="G18" s="973" t="s">
        <v>787</v>
      </c>
      <c r="H18" s="1679"/>
      <c r="I18" s="1680"/>
      <c r="O18" s="322"/>
      <c r="P18" s="322"/>
      <c r="Q18" s="322"/>
      <c r="R18" s="322"/>
      <c r="S18" s="322"/>
      <c r="T18" s="322"/>
      <c r="U18" s="322"/>
    </row>
    <row r="19" spans="2:21" ht="21" customHeight="1">
      <c r="B19" s="690" t="s">
        <v>326</v>
      </c>
      <c r="C19" s="1139"/>
      <c r="D19" s="1139"/>
      <c r="E19" s="1139"/>
      <c r="F19" s="1139"/>
      <c r="G19" s="601"/>
      <c r="H19" s="1685" t="s">
        <v>787</v>
      </c>
      <c r="I19" s="1686"/>
      <c r="O19" s="322"/>
      <c r="P19" s="322"/>
      <c r="Q19" s="322"/>
      <c r="R19" s="322"/>
      <c r="S19" s="322"/>
      <c r="T19" s="322"/>
      <c r="U19" s="322"/>
    </row>
    <row r="20" spans="2:21" ht="21" customHeight="1">
      <c r="B20" s="690"/>
      <c r="C20" s="1139"/>
      <c r="D20" s="1139"/>
      <c r="E20" s="1139"/>
      <c r="F20" s="1139"/>
      <c r="G20" s="1105"/>
      <c r="H20" s="1707"/>
      <c r="I20" s="1708"/>
      <c r="O20" s="322"/>
      <c r="P20" s="322"/>
      <c r="Q20" s="322"/>
      <c r="R20" s="322"/>
      <c r="S20" s="322"/>
      <c r="T20" s="322"/>
      <c r="U20" s="322"/>
    </row>
    <row r="21" spans="2:21" ht="21" customHeight="1">
      <c r="B21" s="690"/>
      <c r="C21" s="1139"/>
      <c r="D21" s="1139"/>
      <c r="E21" s="1139"/>
      <c r="F21" s="1139"/>
      <c r="G21" s="1105"/>
      <c r="H21" s="1707"/>
      <c r="I21" s="1708"/>
      <c r="O21" s="322"/>
      <c r="P21" s="322"/>
      <c r="Q21" s="322"/>
      <c r="R21" s="322"/>
      <c r="S21" s="322"/>
      <c r="T21" s="322"/>
      <c r="U21" s="322"/>
    </row>
    <row r="22" spans="2:21" ht="21" customHeight="1" thickBot="1">
      <c r="B22" s="690" t="str">
        <f>'KEY INPUTS'!D28</f>
        <v>Outstanding - December 31, 2019</v>
      </c>
      <c r="C22" s="1139"/>
      <c r="D22" s="1139"/>
      <c r="E22" s="1139"/>
      <c r="F22" s="1139"/>
      <c r="G22" s="1089">
        <f>+H17+H18-G19-G20-G21+H20+H21</f>
        <v>0</v>
      </c>
      <c r="H22" s="1677" t="s">
        <v>787</v>
      </c>
      <c r="I22" s="1678"/>
      <c r="O22" s="322"/>
      <c r="P22" s="322"/>
      <c r="Q22" s="322"/>
      <c r="R22" s="322"/>
      <c r="S22" s="322"/>
      <c r="T22" s="322"/>
      <c r="U22" s="322"/>
    </row>
    <row r="23" spans="2:21" ht="21" customHeight="1" thickBot="1">
      <c r="B23" s="1114"/>
      <c r="C23" s="1146"/>
      <c r="D23" s="1146"/>
      <c r="E23" s="1146"/>
      <c r="F23" s="1146"/>
      <c r="G23" s="1083">
        <f>SUM(G17:G22)</f>
        <v>0</v>
      </c>
      <c r="H23" s="1683">
        <f>SUM(H17:I22)</f>
        <v>0</v>
      </c>
      <c r="I23" s="1684"/>
    </row>
    <row r="24" spans="2:21" ht="21" customHeight="1" thickTop="1">
      <c r="B24" s="1382" t="str">
        <f>TEXT('KEY INPUTS'!D34+1,"0")&amp;" Loan Maturities"</f>
        <v>2020 Loan Maturities</v>
      </c>
      <c r="C24" s="1391"/>
      <c r="D24" s="1391"/>
      <c r="E24" s="1391"/>
      <c r="F24" s="1391"/>
      <c r="G24" s="1391"/>
      <c r="H24" s="479"/>
      <c r="I24" s="515"/>
      <c r="J24" s="479" t="s">
        <v>482</v>
      </c>
      <c r="K24" s="1714"/>
      <c r="L24" s="1714"/>
    </row>
    <row r="25" spans="2:21" ht="21" customHeight="1" thickBot="1">
      <c r="B25" s="1383" t="str">
        <f>TEXT('KEY INPUTS'!D34+1,"0")&amp;" Interest on Loans"</f>
        <v>2020 Interest on Loans</v>
      </c>
      <c r="C25" s="1162"/>
      <c r="D25" s="1162"/>
      <c r="E25" s="1162"/>
      <c r="F25" s="1162"/>
      <c r="G25" s="1375"/>
      <c r="H25" s="413" t="s">
        <v>482</v>
      </c>
      <c r="I25" s="608"/>
      <c r="J25" s="505"/>
      <c r="K25" s="413"/>
      <c r="L25" s="413"/>
    </row>
    <row r="26" spans="2:21" ht="21" customHeight="1" thickTop="1"/>
    <row r="27" spans="2:21" ht="19.5" customHeight="1" thickBot="1">
      <c r="B27" s="1935" t="str">
        <f>"INTEREST  ON  LOANS  - "&amp;UPPER('KEY INPUTS'!D54)&amp;"  UTILITY  BUDGET"</f>
        <v>INTEREST  ON  LOANS  -   UTILITY  BUDGET</v>
      </c>
      <c r="C27" s="1935"/>
      <c r="D27" s="1935"/>
      <c r="E27" s="1935"/>
      <c r="F27" s="1935"/>
      <c r="G27" s="1935"/>
      <c r="H27" s="1935"/>
      <c r="I27" s="1935"/>
      <c r="J27" s="1935"/>
      <c r="K27" s="1935"/>
      <c r="L27" s="1935"/>
    </row>
    <row r="28" spans="2:21" ht="21" customHeight="1" thickTop="1">
      <c r="B28" s="1394" t="str">
        <f>TEXT('KEY INPUTS'!D34+1,"0")&amp;" Interest on Loans (*Items)"</f>
        <v>2020 Interest on Loans (*Items)</v>
      </c>
      <c r="C28" s="1170"/>
      <c r="D28" s="1158"/>
      <c r="E28" s="1158"/>
      <c r="F28" s="1158"/>
      <c r="G28" s="1158"/>
      <c r="H28" s="415" t="s">
        <v>482</v>
      </c>
      <c r="I28" s="1393">
        <f>+I25+I14</f>
        <v>0</v>
      </c>
    </row>
    <row r="29" spans="2:21" ht="21" customHeight="1">
      <c r="B29" s="914" t="str">
        <f>"Less: Interest Accrued to "&amp;TEXT('KEY INPUTS'!D29,"mm/dd/yyy")&amp;" (Trial Balance)"</f>
        <v>Less: Interest Accrued to 12/31/2019 (Trial Balance)</v>
      </c>
      <c r="C29" s="690"/>
      <c r="D29" s="1139"/>
      <c r="E29" s="1139"/>
      <c r="F29" s="1139"/>
      <c r="G29" s="1139"/>
      <c r="H29" s="334" t="s">
        <v>482</v>
      </c>
      <c r="I29" s="600"/>
    </row>
    <row r="30" spans="2:21" ht="21" customHeight="1">
      <c r="B30" s="690"/>
      <c r="C30" s="690" t="s">
        <v>421</v>
      </c>
      <c r="D30" s="1139"/>
      <c r="E30" s="1139"/>
      <c r="F30" s="1139"/>
      <c r="G30" s="1139"/>
      <c r="H30" s="334" t="s">
        <v>482</v>
      </c>
      <c r="I30" s="1395">
        <f>+I28-I29</f>
        <v>0</v>
      </c>
    </row>
    <row r="31" spans="2:21" ht="21" customHeight="1">
      <c r="B31" s="914" t="str">
        <f>"Add: Interest to be Accrued as of "&amp;TEXT('KEY INPUTS'!D30,"mm/dd/yyyy")&amp;""</f>
        <v>Add: Interest to be Accrued as of 12/31/2020</v>
      </c>
      <c r="C31" s="690"/>
      <c r="D31" s="1139"/>
      <c r="E31" s="1139"/>
      <c r="F31" s="1139"/>
      <c r="G31" s="1139"/>
      <c r="H31" s="334" t="s">
        <v>482</v>
      </c>
      <c r="I31" s="600"/>
    </row>
    <row r="32" spans="2:21" ht="21" customHeight="1">
      <c r="B32" s="914" t="str">
        <f>"Required Appropriation "&amp;TEXT('KEY INPUTS'!D34+1,"0")</f>
        <v>Required Appropriation 2020</v>
      </c>
      <c r="C32" s="690"/>
      <c r="D32" s="1139"/>
      <c r="E32" s="1139"/>
      <c r="F32" s="1139"/>
      <c r="G32" s="1139"/>
      <c r="H32" s="334"/>
      <c r="I32" s="414"/>
      <c r="J32" s="506" t="s">
        <v>482</v>
      </c>
      <c r="K32" s="1846">
        <f>+I30+I31</f>
        <v>0</v>
      </c>
      <c r="L32" s="1847"/>
    </row>
    <row r="33" spans="2:12" ht="13.5" customHeight="1">
      <c r="B33" s="510"/>
      <c r="C33" s="510"/>
      <c r="D33" s="510"/>
      <c r="E33" s="510"/>
      <c r="F33" s="510"/>
      <c r="G33" s="510"/>
      <c r="H33" s="510"/>
      <c r="I33" s="510"/>
      <c r="J33" s="510"/>
      <c r="K33" s="509"/>
      <c r="L33" s="809"/>
    </row>
    <row r="34" spans="2:12" ht="13.5" customHeight="1">
      <c r="B34" s="510"/>
      <c r="C34" s="510"/>
      <c r="D34" s="510"/>
      <c r="E34" s="510"/>
      <c r="F34" s="510"/>
      <c r="G34" s="510"/>
      <c r="H34" s="510"/>
      <c r="I34" s="510"/>
      <c r="J34" s="510"/>
      <c r="K34" s="509"/>
      <c r="L34" s="809"/>
    </row>
    <row r="35" spans="2:12" ht="21" customHeight="1" thickBot="1">
      <c r="B35" s="1938" t="str">
        <f>"LIST  OF  LOANS  ISSUED  DURING  "&amp;TEXT('KEY INPUTS'!D34,"0")&amp;""</f>
        <v>LIST  OF  LOANS  ISSUED  DURING  2019</v>
      </c>
      <c r="C35" s="1938"/>
      <c r="D35" s="1938"/>
      <c r="E35" s="1938"/>
      <c r="F35" s="1938"/>
      <c r="G35" s="1938"/>
      <c r="H35" s="1938"/>
      <c r="I35" s="1938"/>
      <c r="J35" s="1938"/>
      <c r="K35" s="1938"/>
      <c r="L35" s="1938"/>
    </row>
    <row r="36" spans="2:12" ht="27" customHeight="1" thickTop="1" thickBot="1">
      <c r="B36" s="1785" t="s">
        <v>532</v>
      </c>
      <c r="C36" s="1785"/>
      <c r="D36" s="1785"/>
      <c r="E36" s="1785"/>
      <c r="F36" s="1785"/>
      <c r="G36" s="1397" t="str">
        <f>TEXT('KEY INPUTS'!D34,"0")&amp;" Maturity"</f>
        <v>2019 Maturity</v>
      </c>
      <c r="H36" s="1937" t="s">
        <v>109</v>
      </c>
      <c r="I36" s="1786"/>
      <c r="J36" s="1941" t="s">
        <v>107</v>
      </c>
      <c r="K36" s="1942"/>
      <c r="L36" s="1398"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162"/>
      <c r="C41" s="1162"/>
      <c r="D41" s="1162"/>
      <c r="E41" s="1162"/>
      <c r="F41" s="1163"/>
      <c r="G41" s="1083">
        <f>SUM(G37:G40)</f>
        <v>0</v>
      </c>
      <c r="H41" s="1703">
        <f>SUM(H37:I40)</f>
        <v>0</v>
      </c>
      <c r="I41" s="1704"/>
      <c r="J41" s="1396"/>
      <c r="K41" s="1162"/>
      <c r="L41" s="1156"/>
    </row>
    <row r="42" spans="2:12" ht="13.8" thickTop="1">
      <c r="G42" s="504"/>
      <c r="H42" s="504"/>
      <c r="I42" s="504"/>
    </row>
    <row r="51" spans="2:12" ht="13.8">
      <c r="B51" s="1812" t="s">
        <v>3650</v>
      </c>
      <c r="C51" s="1812"/>
      <c r="D51" s="1812"/>
      <c r="E51" s="1812"/>
      <c r="F51" s="1812"/>
      <c r="G51" s="1812"/>
      <c r="H51" s="1812"/>
      <c r="I51" s="1812"/>
      <c r="J51" s="1812"/>
      <c r="K51" s="1812"/>
      <c r="L51" s="1812"/>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4">
    <tabColor theme="5" tint="0.59999389629810485"/>
  </sheetPr>
  <dimension ref="A2:V31"/>
  <sheetViews>
    <sheetView zoomScaleNormal="100" zoomScaleSheetLayoutView="80" workbookViewId="0">
      <selection activeCell="M26" sqref="M26"/>
    </sheetView>
  </sheetViews>
  <sheetFormatPr defaultColWidth="8.88671875" defaultRowHeight="13.2"/>
  <cols>
    <col min="1" max="1" width="5.6640625" style="398" customWidth="1"/>
    <col min="2" max="3" width="4.88671875" style="398" customWidth="1"/>
    <col min="4" max="4" width="30.44140625" style="398" customWidth="1"/>
    <col min="5" max="11" width="15.6640625" style="398" customWidth="1"/>
    <col min="12" max="12" width="1.6640625" style="398" customWidth="1"/>
    <col min="13" max="13" width="12.6640625" style="398" customWidth="1"/>
    <col min="14" max="16384" width="8.88671875" style="398"/>
  </cols>
  <sheetData>
    <row r="2" spans="1:22" ht="20.399999999999999">
      <c r="B2" s="1788" t="str">
        <f>"DEBT  SERVICE  FOR  "&amp;UPPER('KEY INPUTS'!D54)&amp;"  UTILITY  NOTES  (OTHER  THAN  UTILITY  ASSESSMENT  NOTES)"</f>
        <v>DEBT  SERVICE  FOR    UTILITY  NOTES  (OTHER  THAN  UTILITY  ASSESSMENT  NOTES)</v>
      </c>
      <c r="C2" s="1788"/>
      <c r="D2" s="1788"/>
      <c r="E2" s="1788"/>
      <c r="F2" s="1788"/>
      <c r="G2" s="1788"/>
      <c r="H2" s="1788"/>
      <c r="I2" s="1788"/>
      <c r="J2" s="1788"/>
      <c r="K2" s="1788"/>
      <c r="L2" s="1788"/>
      <c r="M2" s="1788"/>
    </row>
    <row r="3" spans="1:22" ht="21" thickBot="1">
      <c r="B3" s="1788"/>
      <c r="C3" s="1788"/>
      <c r="D3" s="1788"/>
      <c r="E3" s="1788"/>
      <c r="F3" s="1788"/>
      <c r="G3" s="1788"/>
      <c r="H3" s="1788"/>
      <c r="I3" s="1788"/>
      <c r="J3" s="1788"/>
      <c r="K3" s="1788"/>
      <c r="L3" s="1788"/>
      <c r="M3" s="1788"/>
    </row>
    <row r="4" spans="1:22" ht="13.5" customHeight="1" thickTop="1">
      <c r="B4" s="1237"/>
      <c r="C4" s="1237"/>
      <c r="D4" s="1237"/>
      <c r="E4" s="1238"/>
      <c r="F4" s="1238"/>
      <c r="G4" s="1238"/>
      <c r="H4" s="1238"/>
      <c r="I4" s="1238"/>
      <c r="J4" s="1237"/>
      <c r="K4" s="1239"/>
      <c r="L4" s="1237"/>
      <c r="M4" s="1240"/>
    </row>
    <row r="5" spans="1:22" ht="13.5" customHeight="1">
      <c r="B5" s="1114"/>
      <c r="C5" s="1114"/>
      <c r="D5" s="1114"/>
      <c r="E5" s="1241" t="s">
        <v>176</v>
      </c>
      <c r="F5" s="1242" t="s">
        <v>176</v>
      </c>
      <c r="G5" s="1242" t="s">
        <v>533</v>
      </c>
      <c r="H5" s="1242" t="s">
        <v>18</v>
      </c>
      <c r="I5" s="1242" t="s">
        <v>684</v>
      </c>
      <c r="J5" s="1866">
        <f>'KEY INPUTS'!D33</f>
        <v>2020</v>
      </c>
      <c r="K5" s="1867"/>
      <c r="L5" s="1243"/>
      <c r="M5" s="1244" t="s">
        <v>685</v>
      </c>
    </row>
    <row r="6" spans="1:22" ht="13.5" customHeight="1">
      <c r="B6" s="1114"/>
      <c r="C6" s="1864" t="s">
        <v>175</v>
      </c>
      <c r="D6" s="1865"/>
      <c r="E6" s="1241" t="s">
        <v>533</v>
      </c>
      <c r="F6" s="1242" t="s">
        <v>177</v>
      </c>
      <c r="G6" s="1242" t="s">
        <v>681</v>
      </c>
      <c r="H6" s="1242" t="s">
        <v>682</v>
      </c>
      <c r="I6" s="1242" t="s">
        <v>682</v>
      </c>
      <c r="J6" s="1868"/>
      <c r="K6" s="1869"/>
      <c r="L6" s="1245"/>
      <c r="M6" s="1244" t="s">
        <v>688</v>
      </c>
    </row>
    <row r="7" spans="1:22" ht="13.5" customHeight="1">
      <c r="B7" s="1114"/>
      <c r="C7" s="1114"/>
      <c r="D7" s="1114"/>
      <c r="E7" s="1241" t="s">
        <v>113</v>
      </c>
      <c r="F7" s="1241" t="s">
        <v>178</v>
      </c>
      <c r="G7" s="1241" t="s">
        <v>257</v>
      </c>
      <c r="H7" s="1241" t="s">
        <v>683</v>
      </c>
      <c r="I7" s="1241" t="s">
        <v>685</v>
      </c>
      <c r="J7" s="1241" t="s">
        <v>142</v>
      </c>
      <c r="K7" s="1241" t="s">
        <v>686</v>
      </c>
      <c r="L7" s="1242"/>
      <c r="M7" s="1244" t="s">
        <v>689</v>
      </c>
    </row>
    <row r="8" spans="1:22" ht="13.5" customHeight="1" thickBot="1">
      <c r="B8" s="1169"/>
      <c r="C8" s="1169"/>
      <c r="D8" s="1169"/>
      <c r="E8" s="1246"/>
      <c r="F8" s="1246"/>
      <c r="G8" s="1247" t="str">
        <f>'KEY INPUTS'!D46</f>
        <v>Dec. 31, 2019</v>
      </c>
      <c r="H8" s="1246"/>
      <c r="I8" s="1246"/>
      <c r="J8" s="1248"/>
      <c r="K8" s="1249"/>
      <c r="L8" s="1250"/>
      <c r="M8" s="1251"/>
      <c r="P8" s="322"/>
      <c r="Q8" s="322"/>
      <c r="R8" s="322"/>
      <c r="S8" s="322"/>
      <c r="T8" s="322"/>
      <c r="U8" s="322"/>
      <c r="V8" s="322"/>
    </row>
    <row r="9" spans="1:22" ht="21" customHeight="1" thickTop="1">
      <c r="B9" s="537" t="s">
        <v>384</v>
      </c>
      <c r="C9" s="675"/>
      <c r="D9" s="676"/>
      <c r="E9" s="618"/>
      <c r="F9" s="677"/>
      <c r="G9" s="618"/>
      <c r="H9" s="678"/>
      <c r="I9" s="620"/>
      <c r="J9" s="618"/>
      <c r="K9" s="618"/>
      <c r="L9" s="629"/>
      <c r="M9" s="679"/>
      <c r="P9" s="322"/>
      <c r="Q9" s="322"/>
      <c r="R9" s="322"/>
      <c r="S9" s="322"/>
      <c r="T9" s="322"/>
      <c r="U9" s="322"/>
      <c r="V9" s="322"/>
    </row>
    <row r="10" spans="1:22" ht="21" customHeight="1">
      <c r="B10" s="536" t="s">
        <v>385</v>
      </c>
      <c r="C10" s="680"/>
      <c r="D10" s="652"/>
      <c r="E10" s="601"/>
      <c r="F10" s="681"/>
      <c r="G10" s="601"/>
      <c r="H10" s="601"/>
      <c r="I10" s="682"/>
      <c r="J10" s="683"/>
      <c r="K10" s="601"/>
      <c r="L10" s="631"/>
      <c r="M10" s="684"/>
      <c r="N10" s="398" t="s">
        <v>3406</v>
      </c>
      <c r="O10" s="398" t="s">
        <v>3406</v>
      </c>
      <c r="P10" s="377"/>
      <c r="Q10" s="322"/>
      <c r="R10" s="322"/>
      <c r="S10" s="322"/>
      <c r="T10" s="322"/>
      <c r="U10" s="322"/>
      <c r="V10" s="322"/>
    </row>
    <row r="11" spans="1:22" ht="21" customHeight="1">
      <c r="B11" s="536" t="s">
        <v>386</v>
      </c>
      <c r="C11" s="648"/>
      <c r="D11" s="652"/>
      <c r="E11" s="601"/>
      <c r="F11" s="685"/>
      <c r="G11" s="601"/>
      <c r="H11" s="601"/>
      <c r="I11" s="623"/>
      <c r="J11" s="601"/>
      <c r="K11" s="601"/>
      <c r="L11" s="631"/>
      <c r="M11" s="684"/>
      <c r="P11" s="322"/>
      <c r="Q11" s="322"/>
      <c r="R11" s="322"/>
      <c r="S11" s="322"/>
      <c r="T11" s="322"/>
      <c r="U11" s="322"/>
      <c r="V11" s="322"/>
    </row>
    <row r="12" spans="1:22" ht="21" customHeight="1">
      <c r="B12" s="536" t="s">
        <v>387</v>
      </c>
      <c r="C12" s="648"/>
      <c r="D12" s="652"/>
      <c r="E12" s="601"/>
      <c r="F12" s="685"/>
      <c r="G12" s="601"/>
      <c r="H12" s="601"/>
      <c r="I12" s="623"/>
      <c r="J12" s="601"/>
      <c r="K12" s="601"/>
      <c r="L12" s="631"/>
      <c r="M12" s="684"/>
      <c r="P12" s="322"/>
      <c r="Q12" s="322"/>
      <c r="R12" s="322"/>
      <c r="S12" s="322"/>
      <c r="T12" s="322"/>
      <c r="U12" s="322"/>
      <c r="V12" s="322"/>
    </row>
    <row r="13" spans="1:22" ht="21" customHeight="1">
      <c r="B13" s="536" t="s">
        <v>388</v>
      </c>
      <c r="C13" s="648"/>
      <c r="D13" s="652"/>
      <c r="E13" s="601"/>
      <c r="F13" s="685"/>
      <c r="G13" s="601"/>
      <c r="H13" s="601"/>
      <c r="I13" s="623"/>
      <c r="J13" s="601"/>
      <c r="K13" s="601"/>
      <c r="L13" s="631"/>
      <c r="M13" s="684"/>
      <c r="P13" s="322"/>
      <c r="Q13" s="322"/>
      <c r="R13" s="322"/>
      <c r="S13" s="322"/>
      <c r="T13" s="322"/>
      <c r="U13" s="322"/>
      <c r="V13" s="322"/>
    </row>
    <row r="14" spans="1:22" ht="21" customHeight="1">
      <c r="B14" s="536" t="s">
        <v>389</v>
      </c>
      <c r="C14" s="648"/>
      <c r="D14" s="652"/>
      <c r="E14" s="604"/>
      <c r="F14" s="686"/>
      <c r="G14" s="604"/>
      <c r="H14" s="604"/>
      <c r="I14" s="626"/>
      <c r="J14" s="601"/>
      <c r="K14" s="601"/>
      <c r="L14" s="631"/>
      <c r="M14" s="684"/>
      <c r="P14" s="322"/>
      <c r="Q14" s="322"/>
      <c r="R14" s="322"/>
      <c r="S14" s="322"/>
      <c r="T14" s="322"/>
      <c r="U14" s="322"/>
      <c r="V14" s="322"/>
    </row>
    <row r="15" spans="1:22" ht="21" customHeight="1">
      <c r="A15" s="1863" t="s">
        <v>3446</v>
      </c>
      <c r="B15" s="536" t="s">
        <v>390</v>
      </c>
      <c r="C15" s="687"/>
      <c r="D15" s="688"/>
      <c r="E15" s="601"/>
      <c r="F15" s="685"/>
      <c r="G15" s="601"/>
      <c r="H15" s="601"/>
      <c r="I15" s="623"/>
      <c r="J15" s="601"/>
      <c r="K15" s="601"/>
      <c r="L15" s="631"/>
      <c r="M15" s="684"/>
      <c r="P15" s="322"/>
      <c r="Q15" s="322"/>
      <c r="R15" s="322"/>
      <c r="S15" s="322"/>
      <c r="T15" s="322"/>
      <c r="U15" s="322"/>
      <c r="V15" s="322"/>
    </row>
    <row r="16" spans="1:22" ht="21" customHeight="1">
      <c r="A16" s="1863"/>
      <c r="B16" s="536" t="s">
        <v>501</v>
      </c>
      <c r="C16" s="648"/>
      <c r="D16" s="652"/>
      <c r="E16" s="601"/>
      <c r="F16" s="685"/>
      <c r="G16" s="601"/>
      <c r="H16" s="601"/>
      <c r="I16" s="623"/>
      <c r="J16" s="601"/>
      <c r="K16" s="601"/>
      <c r="L16" s="631"/>
      <c r="M16" s="684"/>
      <c r="P16" s="322"/>
      <c r="Q16" s="322"/>
      <c r="R16" s="322"/>
      <c r="S16" s="322"/>
      <c r="T16" s="322"/>
      <c r="U16" s="322"/>
      <c r="V16" s="322"/>
    </row>
    <row r="17" spans="1:22" ht="21" customHeight="1">
      <c r="A17" s="1863"/>
      <c r="B17" s="536" t="s">
        <v>502</v>
      </c>
      <c r="C17" s="648"/>
      <c r="D17" s="652"/>
      <c r="E17" s="601"/>
      <c r="F17" s="685"/>
      <c r="G17" s="601"/>
      <c r="H17" s="601"/>
      <c r="I17" s="623"/>
      <c r="J17" s="601"/>
      <c r="K17" s="601"/>
      <c r="L17" s="631"/>
      <c r="M17" s="684"/>
      <c r="P17" s="322"/>
      <c r="Q17" s="322"/>
      <c r="R17" s="322"/>
      <c r="S17" s="322"/>
      <c r="T17" s="322"/>
      <c r="U17" s="322"/>
      <c r="V17" s="322"/>
    </row>
    <row r="18" spans="1:22" ht="21" customHeight="1">
      <c r="A18" s="535"/>
      <c r="B18" s="696" t="s">
        <v>987</v>
      </c>
      <c r="C18" s="690"/>
      <c r="D18" s="691"/>
      <c r="E18" s="689">
        <f>SUM(E9:E17)</f>
        <v>0</v>
      </c>
      <c r="F18" s="692"/>
      <c r="G18" s="689">
        <f>SUM(G9:G17)</f>
        <v>0</v>
      </c>
      <c r="H18" s="689"/>
      <c r="I18" s="693"/>
      <c r="J18" s="689">
        <f>SUM(J9:J17)</f>
        <v>0</v>
      </c>
      <c r="K18" s="689">
        <f>SUM(K9:K17)</f>
        <v>0</v>
      </c>
      <c r="L18" s="694"/>
      <c r="M18" s="695"/>
      <c r="P18" s="322"/>
      <c r="Q18" s="322"/>
      <c r="R18" s="322"/>
      <c r="S18" s="322"/>
      <c r="T18" s="322"/>
      <c r="U18" s="322"/>
      <c r="V18" s="322"/>
    </row>
    <row r="19" spans="1:22" ht="21" customHeight="1">
      <c r="A19" s="535"/>
      <c r="B19" s="1352"/>
      <c r="C19" s="1192"/>
      <c r="D19" s="1192"/>
      <c r="E19" s="1353"/>
      <c r="F19" s="1192"/>
      <c r="G19" s="1353"/>
      <c r="H19" s="1353"/>
      <c r="I19" s="1354"/>
      <c r="J19" s="1353"/>
      <c r="K19" s="1353"/>
      <c r="L19" s="1353"/>
      <c r="M19" s="1192"/>
      <c r="P19" s="322"/>
      <c r="Q19" s="322"/>
      <c r="R19" s="322"/>
      <c r="S19" s="322"/>
      <c r="T19" s="322"/>
      <c r="U19" s="322"/>
      <c r="V19" s="322"/>
    </row>
    <row r="20" spans="1:22" ht="21" customHeight="1">
      <c r="A20" s="535"/>
      <c r="B20" s="1352"/>
      <c r="C20" s="1192"/>
      <c r="D20" s="1192"/>
      <c r="E20" s="1353"/>
      <c r="F20" s="1192"/>
      <c r="G20" s="1353"/>
      <c r="H20" s="1353"/>
      <c r="I20" s="1354"/>
      <c r="J20" s="1353"/>
      <c r="K20" s="1353"/>
      <c r="L20" s="1353"/>
      <c r="M20" s="1192"/>
      <c r="P20" s="322"/>
      <c r="Q20" s="322"/>
      <c r="R20" s="322"/>
      <c r="S20" s="322"/>
      <c r="T20" s="322"/>
      <c r="U20" s="322"/>
      <c r="V20" s="322"/>
    </row>
    <row r="21" spans="1:22" ht="13.5" customHeight="1" thickBot="1">
      <c r="B21" s="1355"/>
      <c r="C21" s="1356"/>
      <c r="D21" s="1357"/>
      <c r="E21" s="1192"/>
      <c r="F21" s="1192"/>
      <c r="G21" s="1192"/>
      <c r="H21" s="1192"/>
      <c r="I21" s="1192"/>
      <c r="J21" s="1358"/>
      <c r="K21" s="1192"/>
      <c r="L21" s="1192"/>
      <c r="M21" s="1192"/>
      <c r="P21" s="322"/>
      <c r="Q21" s="322"/>
      <c r="R21" s="322"/>
      <c r="S21" s="322"/>
      <c r="T21" s="322"/>
      <c r="U21" s="322"/>
      <c r="V21" s="322"/>
    </row>
    <row r="22" spans="1:22" ht="14.4" thickTop="1" thickBot="1">
      <c r="B22" s="1220" t="s">
        <v>44</v>
      </c>
      <c r="C22" s="1119"/>
      <c r="D22" s="1359"/>
      <c r="E22" s="1119"/>
      <c r="F22" s="1114"/>
      <c r="G22" s="1114"/>
      <c r="H22" s="1114"/>
      <c r="I22" s="1860" t="str">
        <f>"INTEREST  ON  NOTES  -  "&amp;UPPER('KEY INPUTS'!D54)&amp;" UTILITY  BUDGET"</f>
        <v>INTEREST  ON  NOTES  -   UTILITY  BUDGET</v>
      </c>
      <c r="J22" s="1861"/>
      <c r="K22" s="1861"/>
      <c r="L22" s="1861"/>
      <c r="M22" s="1862"/>
      <c r="P22" s="322"/>
      <c r="Q22" s="322"/>
      <c r="R22" s="322"/>
      <c r="S22" s="322"/>
      <c r="T22" s="322"/>
      <c r="U22" s="322"/>
      <c r="V22" s="322"/>
    </row>
    <row r="23" spans="1:22" ht="15.6" customHeight="1">
      <c r="B23" s="1360" t="s">
        <v>45</v>
      </c>
      <c r="C23" s="1360"/>
      <c r="D23" s="1220" t="s">
        <v>46</v>
      </c>
      <c r="E23" s="1119"/>
      <c r="F23" s="1114"/>
      <c r="G23" s="1114"/>
      <c r="H23" s="1114"/>
      <c r="I23" s="1361" t="str">
        <f>TEXT('KEY INPUTS'!D34+1,"0")&amp;"  Interest on Notes"</f>
        <v>2020  Interest on Notes</v>
      </c>
      <c r="J23" s="1191"/>
      <c r="K23" s="1191"/>
      <c r="L23" s="526" t="s">
        <v>482</v>
      </c>
      <c r="M23" s="1234">
        <f>K18</f>
        <v>0</v>
      </c>
      <c r="P23" s="322"/>
      <c r="Q23" s="322"/>
      <c r="R23" s="322"/>
      <c r="S23" s="322"/>
      <c r="T23" s="322"/>
      <c r="U23" s="322"/>
      <c r="V23" s="322"/>
    </row>
    <row r="24" spans="1:22" ht="15.6" customHeight="1">
      <c r="B24" s="1220"/>
      <c r="C24" s="1220"/>
      <c r="D24" s="1360" t="s">
        <v>47</v>
      </c>
      <c r="E24" s="1119"/>
      <c r="F24" s="1114"/>
      <c r="G24" s="1114"/>
      <c r="H24" s="1114"/>
      <c r="I24" s="1415" t="str">
        <f>"Less: Interest Accrued to "&amp;TEXT('KEY INPUTS'!D29,"mm/dd/yyyy")&amp;" (Trial Balance)"</f>
        <v>Less: Interest Accrued to 12/31/2019 (Trial Balance)</v>
      </c>
      <c r="J24" s="690"/>
      <c r="K24" s="690"/>
      <c r="L24" s="524" t="s">
        <v>482</v>
      </c>
      <c r="M24" s="672"/>
      <c r="P24" s="322"/>
      <c r="Q24" s="322"/>
      <c r="R24" s="322"/>
      <c r="S24" s="322"/>
      <c r="T24" s="322"/>
      <c r="U24" s="322"/>
      <c r="V24" s="322"/>
    </row>
    <row r="25" spans="1:22" ht="15.6" customHeight="1">
      <c r="B25" s="1220"/>
      <c r="C25" s="1220"/>
      <c r="D25" s="1220" t="s">
        <v>48</v>
      </c>
      <c r="E25" s="1119"/>
      <c r="F25" s="1114"/>
      <c r="G25" s="1114"/>
      <c r="H25" s="1114"/>
      <c r="I25" s="1121"/>
      <c r="J25" s="690" t="s">
        <v>421</v>
      </c>
      <c r="K25" s="690"/>
      <c r="L25" s="524" t="s">
        <v>482</v>
      </c>
      <c r="M25" s="1235">
        <f>+M23-M24</f>
        <v>0</v>
      </c>
    </row>
    <row r="26" spans="1:22" ht="15.6" customHeight="1">
      <c r="B26" s="1220"/>
      <c r="C26" s="1220"/>
      <c r="D26" s="1220" t="str">
        <f>"All notes with an original date of issue of 2016"&amp;" or prior require one legally payable installment to be budgeted if it"</f>
        <v>All notes with an original date of issue of 2016 or prior require one legally payable installment to be budgeted if it</v>
      </c>
      <c r="E26" s="1119"/>
      <c r="F26" s="1114"/>
      <c r="G26" s="1114"/>
      <c r="H26" s="1114"/>
      <c r="I26" s="1415" t="str">
        <f>"Add: Interest to be Accrued as of "&amp;TEXT('KEY INPUTS'!D29,"mm/dd/yyyy")&amp;""</f>
        <v>Add: Interest to be Accrued as of 12/31/2019</v>
      </c>
      <c r="J26" s="690"/>
      <c r="K26" s="690"/>
      <c r="L26" s="524" t="s">
        <v>482</v>
      </c>
      <c r="M26" s="672"/>
    </row>
    <row r="27" spans="1:22" ht="15.6" customHeight="1" thickBot="1">
      <c r="B27" s="1220"/>
      <c r="C27" s="1220"/>
      <c r="D27" s="1220" t="str">
        <f>"is contemplated that such notes will be renewed in "&amp;TEXT('KEY INPUTS'!D34+1,"0")&amp;" or written intent of permanent financing submitted."</f>
        <v>is contemplated that such notes will be renewed in 2020 or written intent of permanent financing submitted.</v>
      </c>
      <c r="E27" s="1119"/>
      <c r="F27" s="1114"/>
      <c r="G27" s="1114"/>
      <c r="H27" s="1114"/>
      <c r="I27" s="1416" t="str">
        <f>"Required Appropriation - "&amp;TEXT('KEY INPUTS'!D34+1,"0")&amp;""</f>
        <v>Required Appropriation - 2020</v>
      </c>
      <c r="J27" s="1169"/>
      <c r="K27" s="1169"/>
      <c r="L27" s="522" t="s">
        <v>482</v>
      </c>
      <c r="M27" s="1236">
        <f>+M25+M26</f>
        <v>0</v>
      </c>
    </row>
    <row r="28" spans="1:22" ht="13.8" thickTop="1">
      <c r="B28" s="1220"/>
      <c r="C28" s="1220"/>
      <c r="D28" s="1220" t="s">
        <v>49</v>
      </c>
      <c r="E28" s="1119"/>
      <c r="F28" s="1114"/>
      <c r="G28" s="1114"/>
      <c r="H28" s="1114"/>
      <c r="I28" s="1114"/>
      <c r="J28" s="1114"/>
      <c r="K28" s="1114"/>
      <c r="L28" s="1114"/>
      <c r="M28" s="1114"/>
    </row>
    <row r="29" spans="1:22">
      <c r="B29" s="1119"/>
      <c r="C29" s="1119"/>
      <c r="D29" s="1360" t="s">
        <v>50</v>
      </c>
      <c r="E29" s="1119"/>
      <c r="F29" s="1114"/>
      <c r="G29" s="1114"/>
      <c r="H29" s="1114"/>
      <c r="I29" s="1114"/>
      <c r="J29" s="1114"/>
      <c r="K29" s="1114"/>
      <c r="L29" s="1114"/>
      <c r="M29" s="1114"/>
    </row>
    <row r="30" spans="1:22">
      <c r="I30" s="1114"/>
      <c r="J30" s="1358" t="s">
        <v>127</v>
      </c>
      <c r="K30" s="1114"/>
      <c r="L30" s="1114"/>
      <c r="M30" s="1114"/>
    </row>
    <row r="31" spans="1:22">
      <c r="I31" s="1114"/>
      <c r="J31" s="1114"/>
      <c r="K31" s="1114"/>
      <c r="L31" s="1114"/>
      <c r="M31" s="1114"/>
    </row>
  </sheetData>
  <sheetProtection algorithmName="SHA-512" hashValue="2PhMmQkgIPJl4ytJGg8qsqz6PuusjDQ5aZ9kNehYlRBEIAttOJaHq6ocYMlhVjmeStwfyDTnHMQQNhRIEcUMcw==" saltValue="D7OUc5V8RKDZLyoKShDhtw==" spinCount="100000" sheet="1" objects="1" scenarios="1"/>
  <customSheetViews>
    <customSheetView guid="{AC653BD0-46E3-42CB-9C76-32121A57B65A}">
      <selection activeCell="M26" sqref="M26"/>
      <pageMargins left="0.25" right="0.25" top="0.5" bottom="0.5" header="0.25" footer="0.25"/>
      <pageSetup paperSize="5" orientation="landscape" r:id="rId1"/>
      <headerFooter alignWithMargins="0"/>
    </customSheetView>
    <customSheetView guid="{B165479B-DC25-403C-9595-F1A88A4AA9A2}">
      <selection activeCell="M26" sqref="M26"/>
      <pageMargins left="0.25" right="0.25" top="0.5" bottom="0.5" header="0.25" footer="0.25"/>
      <pageSetup paperSize="5" orientation="landscape" r:id="rId2"/>
      <headerFooter alignWithMargins="0"/>
    </customSheetView>
    <customSheetView guid="{A64E4C9E-A3DA-4AAA-8607-F524450B9436}">
      <selection activeCell="M26" sqref="M26"/>
      <pageMargins left="0.25" right="0.25" top="0.5" bottom="0.5" header="0.25" footer="0.25"/>
      <pageSetup paperSize="5" orientation="landscape" r:id="rId3"/>
      <headerFooter alignWithMargins="0"/>
    </customSheetView>
    <customSheetView guid="{AB4FBD91-4533-473A-9702-569FF6402073}">
      <selection activeCell="M26" sqref="M26"/>
      <pageMargins left="0.25" right="0.25" top="0.5" bottom="0.5" header="0.25" footer="0.25"/>
      <pageSetup paperSize="5" orientation="landscape" r:id="rId4"/>
      <headerFooter alignWithMargins="0"/>
    </customSheetView>
  </customSheetViews>
  <mergeCells count="6">
    <mergeCell ref="A15:A17"/>
    <mergeCell ref="I22:M22"/>
    <mergeCell ref="B2:M2"/>
    <mergeCell ref="B3:M3"/>
    <mergeCell ref="J5:K6"/>
    <mergeCell ref="C6:D6"/>
  </mergeCells>
  <pageMargins left="0.25" right="0.25" top="0.5" bottom="0.5" header="0.25" footer="0.25"/>
  <pageSetup paperSize="5" orientation="landscape" r:id="rId5"/>
  <headerFooter alignWithMargins="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5">
    <tabColor theme="5" tint="0.59999389629810485"/>
  </sheetPr>
  <dimension ref="A1:T29"/>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1.5546875" style="331" customWidth="1"/>
    <col min="5" max="12" width="15.6640625" style="331" customWidth="1"/>
    <col min="13" max="16384" width="9.109375" style="331"/>
  </cols>
  <sheetData>
    <row r="1" spans="1:20">
      <c r="B1" s="1146"/>
      <c r="C1" s="1146"/>
      <c r="D1" s="1146"/>
      <c r="E1" s="1146"/>
      <c r="F1" s="1146"/>
      <c r="G1" s="1146"/>
      <c r="H1" s="1146"/>
      <c r="I1" s="1146"/>
      <c r="J1" s="1146"/>
      <c r="K1" s="1146"/>
      <c r="L1" s="1146"/>
    </row>
    <row r="2" spans="1:20" ht="20.399999999999999">
      <c r="B2" s="1788" t="str">
        <f>"DEBT  SERVICE  SCHEDULE  FOR  "&amp;UPPER('KEY INPUTS'!D54) &amp;"  UTILITY  ASSESSMENT  NOTES"</f>
        <v>DEBT  SERVICE  SCHEDULE  FOR    UTILITY  ASSESSMENT  NOTES</v>
      </c>
      <c r="C2" s="1788"/>
      <c r="D2" s="1788"/>
      <c r="E2" s="1788"/>
      <c r="F2" s="1788"/>
      <c r="G2" s="1788"/>
      <c r="H2" s="1788"/>
      <c r="I2" s="1788"/>
      <c r="J2" s="1788"/>
      <c r="K2" s="1788"/>
      <c r="L2" s="1788"/>
    </row>
    <row r="3" spans="1:20" ht="21" thickBot="1">
      <c r="B3" s="1870"/>
      <c r="C3" s="1870"/>
      <c r="D3" s="1870"/>
      <c r="E3" s="1870"/>
      <c r="F3" s="1870"/>
      <c r="G3" s="1870"/>
      <c r="H3" s="1870"/>
      <c r="I3" s="1870"/>
      <c r="J3" s="1870"/>
      <c r="K3" s="1870"/>
      <c r="L3" s="1870"/>
    </row>
    <row r="4" spans="1:20" ht="13.5" customHeight="1" thickTop="1">
      <c r="B4" s="1943"/>
      <c r="C4" s="1943"/>
      <c r="D4" s="1944"/>
      <c r="E4" s="1238"/>
      <c r="F4" s="1143"/>
      <c r="G4" s="1143"/>
      <c r="H4" s="1143"/>
      <c r="I4" s="1143"/>
      <c r="J4" s="1142"/>
      <c r="K4" s="1142"/>
      <c r="L4" s="1145"/>
    </row>
    <row r="5" spans="1:20" ht="13.5" customHeight="1">
      <c r="B5" s="1146"/>
      <c r="C5" s="1146"/>
      <c r="D5" s="1146"/>
      <c r="E5" s="1147" t="s">
        <v>176</v>
      </c>
      <c r="F5" s="1151" t="s">
        <v>176</v>
      </c>
      <c r="G5" s="1151" t="s">
        <v>533</v>
      </c>
      <c r="H5" s="1151" t="s">
        <v>18</v>
      </c>
      <c r="I5" s="1151" t="s">
        <v>684</v>
      </c>
      <c r="J5" s="1866">
        <f>'KEY INPUTS'!D33</f>
        <v>2020</v>
      </c>
      <c r="K5" s="1867"/>
      <c r="L5" s="1149" t="s">
        <v>685</v>
      </c>
    </row>
    <row r="6" spans="1:20" ht="13.5" customHeight="1">
      <c r="B6" s="1146"/>
      <c r="C6" s="1787" t="s">
        <v>175</v>
      </c>
      <c r="D6" s="1871"/>
      <c r="E6" s="1147" t="s">
        <v>533</v>
      </c>
      <c r="F6" s="1151" t="s">
        <v>177</v>
      </c>
      <c r="G6" s="1151" t="s">
        <v>681</v>
      </c>
      <c r="H6" s="1151" t="s">
        <v>682</v>
      </c>
      <c r="I6" s="1151" t="s">
        <v>682</v>
      </c>
      <c r="J6" s="1868"/>
      <c r="K6" s="1869"/>
      <c r="L6" s="1149" t="s">
        <v>688</v>
      </c>
    </row>
    <row r="7" spans="1:20" ht="13.5" customHeight="1">
      <c r="B7" s="1146"/>
      <c r="C7" s="1146"/>
      <c r="D7" s="1146"/>
      <c r="E7" s="1147" t="s">
        <v>113</v>
      </c>
      <c r="F7" s="1147" t="s">
        <v>178</v>
      </c>
      <c r="G7" s="1147" t="s">
        <v>257</v>
      </c>
      <c r="H7" s="1147" t="s">
        <v>683</v>
      </c>
      <c r="I7" s="1147" t="s">
        <v>685</v>
      </c>
      <c r="J7" s="1147" t="s">
        <v>142</v>
      </c>
      <c r="K7" s="1147" t="s">
        <v>686</v>
      </c>
      <c r="L7" s="1149" t="s">
        <v>689</v>
      </c>
      <c r="N7" s="322"/>
      <c r="O7" s="322"/>
      <c r="P7" s="322"/>
      <c r="Q7" s="322"/>
      <c r="R7" s="322"/>
      <c r="S7" s="322"/>
      <c r="T7" s="322"/>
    </row>
    <row r="8" spans="1:20" ht="13.5" customHeight="1" thickBot="1">
      <c r="B8" s="1153"/>
      <c r="C8" s="1153"/>
      <c r="D8" s="1153"/>
      <c r="E8" s="1154"/>
      <c r="F8" s="1154"/>
      <c r="G8" s="1364" t="str">
        <f>'KEY INPUTS'!D46</f>
        <v>Dec. 31, 2019</v>
      </c>
      <c r="H8" s="1154"/>
      <c r="I8" s="1154"/>
      <c r="J8" s="1155"/>
      <c r="K8" s="1255" t="s">
        <v>687</v>
      </c>
      <c r="L8" s="1157"/>
      <c r="N8" s="322"/>
      <c r="O8" s="322"/>
      <c r="P8" s="322"/>
      <c r="Q8" s="322"/>
      <c r="R8" s="322"/>
      <c r="S8" s="322"/>
      <c r="T8" s="322"/>
    </row>
    <row r="9" spans="1:20" ht="21" customHeight="1" thickTop="1">
      <c r="B9" s="1874"/>
      <c r="C9" s="1874"/>
      <c r="D9" s="1875"/>
      <c r="E9" s="605"/>
      <c r="F9" s="797"/>
      <c r="G9" s="605"/>
      <c r="H9" s="605"/>
      <c r="I9" s="798"/>
      <c r="J9" s="605"/>
      <c r="K9" s="605"/>
      <c r="L9" s="799"/>
      <c r="N9" s="377"/>
      <c r="O9" s="322"/>
      <c r="P9" s="322"/>
      <c r="Q9" s="322"/>
      <c r="R9" s="322"/>
      <c r="S9" s="322"/>
      <c r="T9" s="322"/>
    </row>
    <row r="10" spans="1:20" ht="21" customHeight="1">
      <c r="B10" s="705"/>
      <c r="C10" s="705"/>
      <c r="D10" s="1475"/>
      <c r="E10" s="601"/>
      <c r="F10" s="685"/>
      <c r="G10" s="601"/>
      <c r="H10" s="601"/>
      <c r="I10" s="623"/>
      <c r="J10" s="601"/>
      <c r="K10" s="601"/>
      <c r="L10" s="699"/>
      <c r="N10" s="322"/>
      <c r="O10" s="322"/>
      <c r="P10" s="322"/>
      <c r="Q10" s="322"/>
      <c r="R10" s="322"/>
      <c r="S10" s="322"/>
      <c r="T10" s="322"/>
    </row>
    <row r="11" spans="1:20" ht="21" customHeight="1">
      <c r="B11" s="705"/>
      <c r="C11" s="705"/>
      <c r="D11" s="1475"/>
      <c r="E11" s="601"/>
      <c r="F11" s="685"/>
      <c r="G11" s="601"/>
      <c r="H11" s="601"/>
      <c r="I11" s="623"/>
      <c r="J11" s="601"/>
      <c r="K11" s="601"/>
      <c r="L11" s="699"/>
      <c r="N11" s="322"/>
      <c r="O11" s="322"/>
      <c r="P11" s="322"/>
      <c r="Q11" s="322"/>
      <c r="R11" s="322"/>
      <c r="S11" s="322"/>
      <c r="T11" s="322"/>
    </row>
    <row r="12" spans="1:20" ht="21" customHeight="1">
      <c r="B12" s="705"/>
      <c r="C12" s="705"/>
      <c r="D12" s="1475"/>
      <c r="E12" s="601"/>
      <c r="F12" s="685"/>
      <c r="G12" s="601"/>
      <c r="H12" s="601"/>
      <c r="I12" s="623"/>
      <c r="J12" s="601"/>
      <c r="K12" s="601"/>
      <c r="L12" s="699"/>
      <c r="N12" s="322"/>
      <c r="O12" s="322"/>
      <c r="P12" s="322"/>
      <c r="Q12" s="322"/>
      <c r="R12" s="322"/>
      <c r="S12" s="322"/>
      <c r="T12" s="322"/>
    </row>
    <row r="13" spans="1:20" ht="21" customHeight="1">
      <c r="B13" s="705"/>
      <c r="C13" s="705"/>
      <c r="D13" s="1475"/>
      <c r="E13" s="601"/>
      <c r="F13" s="685"/>
      <c r="G13" s="601"/>
      <c r="H13" s="601"/>
      <c r="I13" s="623"/>
      <c r="J13" s="601"/>
      <c r="K13" s="601"/>
      <c r="L13" s="699"/>
      <c r="N13" s="322"/>
      <c r="O13" s="322"/>
      <c r="P13" s="322"/>
      <c r="Q13" s="322"/>
      <c r="R13" s="322"/>
      <c r="S13" s="322"/>
      <c r="T13" s="322"/>
    </row>
    <row r="14" spans="1:20" ht="21" customHeight="1">
      <c r="B14" s="705"/>
      <c r="C14" s="705"/>
      <c r="D14" s="1475"/>
      <c r="E14" s="604"/>
      <c r="F14" s="686"/>
      <c r="G14" s="604"/>
      <c r="H14" s="604"/>
      <c r="I14" s="626"/>
      <c r="J14" s="601"/>
      <c r="K14" s="601"/>
      <c r="L14" s="699"/>
      <c r="N14" s="322"/>
      <c r="O14" s="322"/>
      <c r="P14" s="322"/>
      <c r="Q14" s="322"/>
      <c r="R14" s="322"/>
      <c r="S14" s="322"/>
      <c r="T14" s="322"/>
    </row>
    <row r="15" spans="1:20" ht="21" customHeight="1">
      <c r="A15" s="1792" t="s">
        <v>3447</v>
      </c>
      <c r="B15" s="705"/>
      <c r="C15" s="705"/>
      <c r="D15" s="1475"/>
      <c r="E15" s="601"/>
      <c r="F15" s="685"/>
      <c r="G15" s="601"/>
      <c r="H15" s="601"/>
      <c r="I15" s="623"/>
      <c r="J15" s="601"/>
      <c r="K15" s="601"/>
      <c r="L15" s="699"/>
      <c r="N15" s="322"/>
      <c r="O15" s="322"/>
      <c r="P15" s="322"/>
      <c r="Q15" s="322"/>
      <c r="R15" s="322"/>
      <c r="S15" s="322"/>
      <c r="T15" s="322"/>
    </row>
    <row r="16" spans="1:20" ht="21" customHeight="1">
      <c r="A16" s="1792"/>
      <c r="B16" s="705"/>
      <c r="C16" s="705"/>
      <c r="D16" s="1475"/>
      <c r="E16" s="601"/>
      <c r="F16" s="685"/>
      <c r="G16" s="601"/>
      <c r="H16" s="601"/>
      <c r="I16" s="623"/>
      <c r="J16" s="601"/>
      <c r="K16" s="601"/>
      <c r="L16" s="699"/>
      <c r="N16" s="322"/>
      <c r="O16" s="322"/>
      <c r="P16" s="322"/>
      <c r="Q16" s="322"/>
      <c r="R16" s="322"/>
      <c r="S16" s="322"/>
      <c r="T16" s="322"/>
    </row>
    <row r="17" spans="1:20" ht="21" customHeight="1">
      <c r="A17" s="1792"/>
      <c r="B17" s="705"/>
      <c r="C17" s="705"/>
      <c r="D17" s="1475"/>
      <c r="E17" s="601"/>
      <c r="F17" s="685"/>
      <c r="G17" s="601"/>
      <c r="H17" s="601"/>
      <c r="I17" s="623"/>
      <c r="J17" s="601"/>
      <c r="K17" s="601"/>
      <c r="L17" s="699"/>
      <c r="N17" s="322"/>
      <c r="O17" s="322"/>
      <c r="P17" s="322"/>
      <c r="Q17" s="322"/>
      <c r="R17" s="322"/>
      <c r="S17" s="322"/>
      <c r="T17" s="322"/>
    </row>
    <row r="18" spans="1:20" ht="21" customHeight="1">
      <c r="A18" s="545"/>
      <c r="B18" s="705"/>
      <c r="C18" s="705"/>
      <c r="D18" s="1475"/>
      <c r="E18" s="601"/>
      <c r="F18" s="685"/>
      <c r="G18" s="601"/>
      <c r="H18" s="601"/>
      <c r="I18" s="623"/>
      <c r="J18" s="601"/>
      <c r="K18" s="601"/>
      <c r="L18" s="699"/>
      <c r="N18" s="322"/>
      <c r="O18" s="322"/>
      <c r="P18" s="322"/>
      <c r="Q18" s="322"/>
      <c r="R18" s="322"/>
      <c r="S18" s="322"/>
      <c r="T18" s="322"/>
    </row>
    <row r="19" spans="1:20" ht="21" customHeight="1">
      <c r="B19" s="705"/>
      <c r="C19" s="705"/>
      <c r="D19" s="1475"/>
      <c r="E19" s="601"/>
      <c r="F19" s="685"/>
      <c r="G19" s="601"/>
      <c r="H19" s="601"/>
      <c r="I19" s="623"/>
      <c r="J19" s="601"/>
      <c r="K19" s="601"/>
      <c r="L19" s="699"/>
      <c r="N19" s="322"/>
      <c r="O19" s="322"/>
      <c r="P19" s="322"/>
      <c r="Q19" s="322"/>
      <c r="R19" s="322"/>
      <c r="S19" s="322"/>
      <c r="T19" s="322"/>
    </row>
    <row r="20" spans="1:20" ht="21" customHeight="1">
      <c r="B20" s="705"/>
      <c r="C20" s="705"/>
      <c r="D20" s="1475"/>
      <c r="E20" s="601"/>
      <c r="F20" s="685"/>
      <c r="G20" s="601"/>
      <c r="H20" s="601"/>
      <c r="I20" s="623"/>
      <c r="J20" s="601"/>
      <c r="K20" s="601"/>
      <c r="L20" s="699"/>
      <c r="N20" s="322"/>
      <c r="O20" s="322"/>
      <c r="P20" s="322"/>
      <c r="Q20" s="322"/>
      <c r="R20" s="322"/>
      <c r="S20" s="322"/>
      <c r="T20" s="322"/>
    </row>
    <row r="21" spans="1:20" ht="21" customHeight="1">
      <c r="B21" s="705"/>
      <c r="C21" s="705"/>
      <c r="D21" s="1475"/>
      <c r="E21" s="601"/>
      <c r="F21" s="685"/>
      <c r="G21" s="601"/>
      <c r="H21" s="601"/>
      <c r="I21" s="623"/>
      <c r="J21" s="601"/>
      <c r="K21" s="601"/>
      <c r="L21" s="699"/>
      <c r="N21" s="322"/>
      <c r="O21" s="322"/>
      <c r="P21" s="322"/>
      <c r="Q21" s="322"/>
      <c r="R21" s="322"/>
      <c r="S21" s="322"/>
      <c r="T21" s="322"/>
    </row>
    <row r="22" spans="1:20" ht="21" customHeight="1">
      <c r="B22" s="705"/>
      <c r="C22" s="705"/>
      <c r="D22" s="1475"/>
      <c r="E22" s="601"/>
      <c r="F22" s="685"/>
      <c r="G22" s="601"/>
      <c r="H22" s="601"/>
      <c r="I22" s="623"/>
      <c r="J22" s="601"/>
      <c r="K22" s="601"/>
      <c r="L22" s="699"/>
      <c r="N22" s="322"/>
      <c r="O22" s="322"/>
      <c r="P22" s="322"/>
      <c r="Q22" s="322"/>
      <c r="R22" s="322"/>
      <c r="S22" s="322"/>
      <c r="T22" s="322"/>
    </row>
    <row r="23" spans="1:20" ht="21" customHeight="1" thickBot="1">
      <c r="B23" s="1256"/>
      <c r="C23" s="1417"/>
      <c r="D23" s="1418"/>
      <c r="E23" s="1365">
        <f>SUM(E9:E22)</f>
        <v>0</v>
      </c>
      <c r="F23" s="1419"/>
      <c r="G23" s="1365">
        <f>SUM(G9:G22)</f>
        <v>0</v>
      </c>
      <c r="H23" s="1365"/>
      <c r="I23" s="1365"/>
      <c r="J23" s="1365">
        <f>SUM(J9:J22)</f>
        <v>0</v>
      </c>
      <c r="K23" s="1365">
        <f>SUM(K9:K22)</f>
        <v>0</v>
      </c>
      <c r="L23" s="1420"/>
      <c r="N23" s="322"/>
      <c r="O23" s="322"/>
      <c r="P23" s="322"/>
      <c r="Q23" s="322"/>
      <c r="R23" s="322"/>
      <c r="S23" s="322"/>
      <c r="T23" s="322"/>
    </row>
    <row r="24" spans="1:20" ht="13.5" customHeight="1" thickTop="1">
      <c r="B24" s="1366" t="s">
        <v>44</v>
      </c>
      <c r="C24" s="1367"/>
      <c r="D24" s="1368"/>
      <c r="E24" s="1146"/>
      <c r="F24" s="1146"/>
      <c r="G24" s="1146"/>
      <c r="H24" s="1146"/>
      <c r="I24" s="1146"/>
      <c r="J24" s="1369"/>
      <c r="K24" s="1369"/>
      <c r="L24" s="1146"/>
    </row>
    <row r="25" spans="1:20" ht="13.5" customHeight="1">
      <c r="B25" s="1366" t="s">
        <v>693</v>
      </c>
      <c r="C25" s="1367"/>
      <c r="D25" s="1368"/>
      <c r="E25" s="1146"/>
      <c r="F25" s="1146"/>
      <c r="G25" s="1146"/>
      <c r="H25" s="1146"/>
      <c r="I25" s="1146"/>
      <c r="J25" s="1146"/>
      <c r="K25" s="1146"/>
      <c r="L25" s="1146"/>
    </row>
    <row r="26" spans="1:20" ht="13.5" customHeight="1">
      <c r="B26" s="1366"/>
      <c r="C26" s="1367" t="str">
        <f>"Utility Assessment Notes with an original date of issue of December 31, 2016 "&amp;" or prior must be appropriated in full in the "&amp;TEXT('KEY INPUTS'!D34+1,"0")&amp;" Dedicated Utility Assessment Budget or written intent of"</f>
        <v>Utility Assessment Notes with an original date of issue of December 31, 2016  or prior must be appropriated in full in the 2020 Dedicated Utility Assessment Budget or written intent of</v>
      </c>
      <c r="D26" s="1368"/>
      <c r="E26" s="1146"/>
      <c r="F26" s="1146"/>
      <c r="G26" s="1146"/>
      <c r="H26" s="1146"/>
      <c r="I26" s="1146"/>
      <c r="J26" s="1146"/>
      <c r="K26" s="1146"/>
      <c r="L26" s="1146"/>
    </row>
    <row r="27" spans="1:20" ht="13.5" customHeight="1">
      <c r="B27" s="1366"/>
      <c r="C27" s="1367"/>
      <c r="D27" s="1370" t="s">
        <v>644</v>
      </c>
      <c r="E27" s="1146"/>
      <c r="F27" s="1146"/>
      <c r="G27" s="1146"/>
      <c r="H27" s="1146"/>
      <c r="I27" s="1146"/>
      <c r="J27" s="1146"/>
      <c r="K27" s="1146"/>
      <c r="L27" s="1146"/>
    </row>
    <row r="28" spans="1:20" ht="13.5" customHeight="1">
      <c r="B28" s="1366"/>
      <c r="C28" s="1367" t="s">
        <v>394</v>
      </c>
      <c r="D28" s="1368"/>
      <c r="E28" s="1146"/>
      <c r="F28" s="1146"/>
      <c r="G28" s="1146"/>
      <c r="H28" s="1146"/>
      <c r="I28" s="1146"/>
      <c r="J28" s="1371"/>
      <c r="K28" s="1146"/>
      <c r="L28" s="1146"/>
    </row>
    <row r="29" spans="1:20">
      <c r="B29" s="541"/>
      <c r="C29" s="411"/>
      <c r="D29" s="411"/>
    </row>
  </sheetData>
  <sheetProtection algorithmName="SHA-512" hashValue="dn5sCfMs2uXeQKwkDmQ+sT+I9OuXUj1ad6tS+Qh6T/A/nrF6HvBU9otFDnOOTY0h4a4JeyF5ER4k9w4+ho3eEQ==" saltValue="MvVKH3X0D5bA+qwPGSrC3Q=="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7">
    <mergeCell ref="B9:D9"/>
    <mergeCell ref="A15:A17"/>
    <mergeCell ref="B2:L2"/>
    <mergeCell ref="B3:L3"/>
    <mergeCell ref="B4:D4"/>
    <mergeCell ref="J5:K6"/>
    <mergeCell ref="C6:D6"/>
  </mergeCells>
  <pageMargins left="0.25" right="0.25" top="0.5" bottom="0.5" header="0.25" footer="0.25"/>
  <pageSetup paperSize="5" orientation="landscape" r:id="rId5"/>
  <headerFooter alignWithMargins="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6">
    <tabColor theme="5" tint="0.59999389629810485"/>
  </sheetPr>
  <dimension ref="A2:R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5.88671875" style="331" customWidth="1"/>
    <col min="5" max="6" width="15.6640625" style="331" customWidth="1"/>
    <col min="7" max="9" width="30.6640625" style="331" customWidth="1"/>
    <col min="10" max="16384" width="9.109375" style="331"/>
  </cols>
  <sheetData>
    <row r="2" spans="1:18" ht="20.399999999999999">
      <c r="B2" s="1788" t="str">
        <f>"SCHEDULE  OF  CAPITAL  LEASE  PROGRAM  OBLIGATIONS "&amp;UPPER('KEY INPUTS'!D54)&amp;"  UTILITY"</f>
        <v>SCHEDULE  OF  CAPITAL  LEASE  PROGRAM  OBLIGATIONS   UTILITY</v>
      </c>
      <c r="C2" s="1788"/>
      <c r="D2" s="1788"/>
      <c r="E2" s="1788"/>
      <c r="F2" s="1788"/>
      <c r="G2" s="1788"/>
      <c r="H2" s="1788"/>
      <c r="I2" s="1788"/>
    </row>
    <row r="3" spans="1:18" ht="21" thickBot="1">
      <c r="B3" s="1870"/>
      <c r="C3" s="1870"/>
      <c r="D3" s="1870"/>
      <c r="E3" s="1870"/>
      <c r="F3" s="1870"/>
      <c r="G3" s="1870"/>
      <c r="H3" s="1870"/>
      <c r="I3" s="1870"/>
    </row>
    <row r="4" spans="1:18" ht="13.5" customHeight="1" thickTop="1">
      <c r="B4" s="1943"/>
      <c r="C4" s="1943"/>
      <c r="D4" s="1943"/>
      <c r="E4" s="1943"/>
      <c r="F4" s="1944"/>
      <c r="G4" s="1266"/>
      <c r="H4" s="1142"/>
      <c r="I4" s="1267"/>
    </row>
    <row r="5" spans="1:18" ht="13.5" customHeight="1">
      <c r="B5" s="1146"/>
      <c r="C5" s="1146"/>
      <c r="D5" s="1146"/>
      <c r="E5" s="1141"/>
      <c r="F5" s="1141"/>
      <c r="G5" s="1151" t="s">
        <v>533</v>
      </c>
      <c r="H5" s="1945" t="str">
        <f>'KEY INPUTS'!D34+1&amp;" Budget Requirements"</f>
        <v>2020 Budget Requirements</v>
      </c>
      <c r="I5" s="1946"/>
      <c r="J5" s="774"/>
    </row>
    <row r="6" spans="1:18" ht="13.5" customHeight="1">
      <c r="B6" s="1146"/>
      <c r="C6" s="1787" t="s">
        <v>532</v>
      </c>
      <c r="D6" s="1787"/>
      <c r="E6" s="1141"/>
      <c r="F6" s="1141"/>
      <c r="G6" s="1151" t="s">
        <v>549</v>
      </c>
      <c r="H6" s="1947"/>
      <c r="I6" s="1948"/>
      <c r="J6" s="774"/>
    </row>
    <row r="7" spans="1:18" ht="13.5" customHeight="1">
      <c r="B7" s="1146"/>
      <c r="C7" s="1146"/>
      <c r="D7" s="1146"/>
      <c r="E7" s="1141"/>
      <c r="F7" s="1271"/>
      <c r="G7" s="1272" t="str">
        <f>'KEY INPUTS'!D46</f>
        <v>Dec. 31, 2019</v>
      </c>
      <c r="H7" s="1147" t="s">
        <v>3449</v>
      </c>
      <c r="I7" s="1149" t="s">
        <v>550</v>
      </c>
      <c r="L7" s="322"/>
      <c r="M7" s="322"/>
      <c r="N7" s="322"/>
      <c r="O7" s="322"/>
      <c r="P7" s="322"/>
      <c r="Q7" s="322"/>
      <c r="R7" s="322"/>
    </row>
    <row r="8" spans="1:18" ht="13.5" customHeight="1" thickBot="1">
      <c r="B8" s="1153"/>
      <c r="C8" s="1153"/>
      <c r="D8" s="1153"/>
      <c r="E8" s="1153"/>
      <c r="F8" s="1273"/>
      <c r="G8" s="1274"/>
      <c r="H8" s="1155"/>
      <c r="I8" s="1275"/>
      <c r="L8" s="322"/>
      <c r="M8" s="322"/>
      <c r="N8" s="322"/>
      <c r="O8" s="322"/>
      <c r="P8" s="322"/>
      <c r="Q8" s="322"/>
      <c r="R8" s="322"/>
    </row>
    <row r="9" spans="1:18" ht="21" customHeight="1" thickTop="1">
      <c r="B9" s="1874"/>
      <c r="C9" s="1874"/>
      <c r="D9" s="1874"/>
      <c r="E9" s="1874"/>
      <c r="F9" s="1875"/>
      <c r="G9" s="801"/>
      <c r="H9" s="605"/>
      <c r="I9" s="802"/>
      <c r="L9" s="377"/>
      <c r="M9" s="322"/>
      <c r="N9" s="322"/>
      <c r="O9" s="322"/>
      <c r="P9" s="322"/>
      <c r="Q9" s="322"/>
      <c r="R9" s="322"/>
    </row>
    <row r="10" spans="1:18" ht="21" customHeight="1">
      <c r="B10" s="1876"/>
      <c r="C10" s="1876"/>
      <c r="D10" s="1876"/>
      <c r="E10" s="1876"/>
      <c r="F10" s="1877"/>
      <c r="G10" s="631"/>
      <c r="H10" s="601"/>
      <c r="I10" s="602"/>
      <c r="L10" s="322"/>
      <c r="M10" s="322"/>
      <c r="N10" s="322"/>
      <c r="O10" s="322"/>
      <c r="P10" s="322"/>
      <c r="Q10" s="322"/>
      <c r="R10" s="322"/>
    </row>
    <row r="11" spans="1:18" ht="21" customHeight="1">
      <c r="B11" s="1876"/>
      <c r="C11" s="1876"/>
      <c r="D11" s="1876"/>
      <c r="E11" s="1876"/>
      <c r="F11" s="1877"/>
      <c r="G11" s="631"/>
      <c r="H11" s="601"/>
      <c r="I11" s="602"/>
      <c r="L11" s="322"/>
      <c r="M11" s="322"/>
      <c r="N11" s="322"/>
      <c r="O11" s="322"/>
      <c r="P11" s="322"/>
      <c r="Q11" s="322"/>
      <c r="R11" s="322"/>
    </row>
    <row r="12" spans="1:18" ht="21" customHeight="1">
      <c r="B12" s="1876"/>
      <c r="C12" s="1876"/>
      <c r="D12" s="1876"/>
      <c r="E12" s="1876"/>
      <c r="F12" s="1877"/>
      <c r="G12" s="631"/>
      <c r="H12" s="601"/>
      <c r="I12" s="602"/>
      <c r="L12" s="322"/>
      <c r="M12" s="322"/>
      <c r="N12" s="322"/>
      <c r="O12" s="322"/>
      <c r="P12" s="322"/>
      <c r="Q12" s="322"/>
      <c r="R12" s="322"/>
    </row>
    <row r="13" spans="1:18" ht="21" customHeight="1">
      <c r="B13" s="1876"/>
      <c r="C13" s="1876"/>
      <c r="D13" s="1876"/>
      <c r="E13" s="1876"/>
      <c r="F13" s="1877"/>
      <c r="G13" s="631"/>
      <c r="H13" s="601"/>
      <c r="I13" s="602"/>
      <c r="L13" s="322"/>
      <c r="M13" s="322"/>
      <c r="N13" s="322"/>
      <c r="O13" s="322"/>
      <c r="P13" s="322"/>
      <c r="Q13" s="322"/>
      <c r="R13" s="322"/>
    </row>
    <row r="14" spans="1:18" ht="21" customHeight="1">
      <c r="B14" s="1876"/>
      <c r="C14" s="1876"/>
      <c r="D14" s="1876"/>
      <c r="E14" s="1876"/>
      <c r="F14" s="1877"/>
      <c r="G14" s="632"/>
      <c r="H14" s="601"/>
      <c r="I14" s="602"/>
      <c r="L14" s="322"/>
      <c r="M14" s="322"/>
      <c r="N14" s="322"/>
      <c r="O14" s="322"/>
      <c r="P14" s="322"/>
      <c r="Q14" s="322"/>
      <c r="R14" s="322"/>
    </row>
    <row r="15" spans="1:18" ht="21" customHeight="1">
      <c r="A15" s="1792" t="s">
        <v>3448</v>
      </c>
      <c r="B15" s="1876"/>
      <c r="C15" s="1876"/>
      <c r="D15" s="1876"/>
      <c r="E15" s="1876"/>
      <c r="F15" s="1877"/>
      <c r="G15" s="631"/>
      <c r="H15" s="601"/>
      <c r="I15" s="602"/>
      <c r="L15" s="322"/>
      <c r="M15" s="322"/>
      <c r="N15" s="322"/>
      <c r="O15" s="322"/>
      <c r="P15" s="322"/>
      <c r="Q15" s="322"/>
      <c r="R15" s="322"/>
    </row>
    <row r="16" spans="1:18" ht="21" customHeight="1">
      <c r="A16" s="1792"/>
      <c r="B16" s="1876"/>
      <c r="C16" s="1876"/>
      <c r="D16" s="1876"/>
      <c r="E16" s="1876"/>
      <c r="F16" s="1877"/>
      <c r="G16" s="631"/>
      <c r="H16" s="601"/>
      <c r="I16" s="602"/>
      <c r="L16" s="322"/>
      <c r="M16" s="322"/>
      <c r="N16" s="322"/>
      <c r="O16" s="322"/>
      <c r="P16" s="322"/>
      <c r="Q16" s="322"/>
      <c r="R16" s="322"/>
    </row>
    <row r="17" spans="1:18" ht="21" customHeight="1">
      <c r="A17" s="1792"/>
      <c r="B17" s="1876"/>
      <c r="C17" s="1876"/>
      <c r="D17" s="1876"/>
      <c r="E17" s="1876"/>
      <c r="F17" s="1877"/>
      <c r="G17" s="631"/>
      <c r="H17" s="601"/>
      <c r="I17" s="602"/>
      <c r="L17" s="322"/>
      <c r="M17" s="322"/>
      <c r="N17" s="322"/>
      <c r="O17" s="322"/>
      <c r="P17" s="322"/>
      <c r="Q17" s="322"/>
      <c r="R17" s="322"/>
    </row>
    <row r="18" spans="1:18" ht="21" customHeight="1">
      <c r="A18" s="545"/>
      <c r="B18" s="1876"/>
      <c r="C18" s="1876"/>
      <c r="D18" s="1876"/>
      <c r="E18" s="1876"/>
      <c r="F18" s="1877"/>
      <c r="G18" s="631"/>
      <c r="H18" s="601"/>
      <c r="I18" s="602"/>
      <c r="L18" s="322"/>
      <c r="M18" s="322"/>
      <c r="N18" s="322"/>
      <c r="O18" s="322"/>
      <c r="P18" s="322"/>
      <c r="Q18" s="322"/>
      <c r="R18" s="322"/>
    </row>
    <row r="19" spans="1:18" ht="21" customHeight="1">
      <c r="B19" s="1876"/>
      <c r="C19" s="1876"/>
      <c r="D19" s="1876"/>
      <c r="E19" s="1876"/>
      <c r="F19" s="1877"/>
      <c r="G19" s="631"/>
      <c r="H19" s="601"/>
      <c r="I19" s="602"/>
      <c r="L19" s="322"/>
      <c r="M19" s="322"/>
      <c r="N19" s="322"/>
      <c r="O19" s="322"/>
      <c r="P19" s="322"/>
      <c r="Q19" s="322"/>
      <c r="R19" s="322"/>
    </row>
    <row r="20" spans="1:18" ht="21" customHeight="1">
      <c r="B20" s="1876"/>
      <c r="C20" s="1876"/>
      <c r="D20" s="1876"/>
      <c r="E20" s="1876"/>
      <c r="F20" s="1877"/>
      <c r="G20" s="631"/>
      <c r="H20" s="601"/>
      <c r="I20" s="602"/>
      <c r="L20" s="322"/>
      <c r="M20" s="322"/>
      <c r="N20" s="322"/>
      <c r="O20" s="322"/>
      <c r="P20" s="322"/>
      <c r="Q20" s="322"/>
      <c r="R20" s="322"/>
    </row>
    <row r="21" spans="1:18" ht="21" customHeight="1">
      <c r="B21" s="1876"/>
      <c r="C21" s="1876"/>
      <c r="D21" s="1876"/>
      <c r="E21" s="1876"/>
      <c r="F21" s="1877"/>
      <c r="G21" s="631"/>
      <c r="H21" s="601"/>
      <c r="I21" s="602"/>
      <c r="L21" s="322"/>
      <c r="M21" s="322"/>
      <c r="N21" s="322"/>
      <c r="O21" s="322"/>
      <c r="P21" s="322"/>
      <c r="Q21" s="322"/>
      <c r="R21" s="322"/>
    </row>
    <row r="22" spans="1:18" ht="21" customHeight="1" thickBot="1">
      <c r="B22" s="1876"/>
      <c r="C22" s="1876"/>
      <c r="D22" s="1876"/>
      <c r="E22" s="1876"/>
      <c r="F22" s="1877"/>
      <c r="G22" s="633"/>
      <c r="H22" s="627"/>
      <c r="I22" s="634"/>
      <c r="L22" s="322"/>
      <c r="M22" s="322"/>
      <c r="N22" s="322"/>
      <c r="O22" s="322"/>
      <c r="P22" s="322"/>
      <c r="Q22" s="322"/>
      <c r="R22" s="322"/>
    </row>
    <row r="23" spans="1:18" ht="21" customHeight="1" thickTop="1" thickBot="1">
      <c r="B23" s="1256"/>
      <c r="C23" s="1162"/>
      <c r="D23" s="1373" t="s">
        <v>174</v>
      </c>
      <c r="E23" s="1059"/>
      <c r="F23" s="1273"/>
      <c r="G23" s="1374">
        <f>SUM(G9:G22)</f>
        <v>0</v>
      </c>
      <c r="H23" s="1083">
        <f>SUM(H9:H22)</f>
        <v>0</v>
      </c>
      <c r="I23" s="1161">
        <f>SUM(I9:I22)</f>
        <v>0</v>
      </c>
      <c r="L23" s="322"/>
      <c r="M23" s="322"/>
      <c r="N23" s="322"/>
      <c r="O23" s="322"/>
      <c r="P23" s="322"/>
      <c r="Q23" s="322"/>
      <c r="R23" s="322"/>
    </row>
    <row r="24" spans="1:18" ht="13.5" customHeight="1" thickTop="1">
      <c r="B24" s="803"/>
      <c r="C24" s="411"/>
      <c r="D24" s="804"/>
      <c r="H24" s="504"/>
      <c r="I24" s="504"/>
    </row>
    <row r="25" spans="1:18" ht="13.5" customHeight="1">
      <c r="B25" s="803"/>
      <c r="C25" s="411"/>
      <c r="D25" s="804"/>
    </row>
    <row r="26" spans="1:18" ht="13.5" customHeight="1">
      <c r="B26" s="803"/>
      <c r="C26" s="411"/>
      <c r="D26" s="804"/>
      <c r="H26" s="800"/>
    </row>
    <row r="27" spans="1:18">
      <c r="B27" s="541"/>
      <c r="C27" s="411"/>
      <c r="D27" s="411"/>
    </row>
  </sheetData>
  <sheetProtection algorithmName="SHA-512" hashValue="SoKEPCEEXVb6e1giQ9DUlRfkklq60GykPco2v8FOTLKWmEey65n8+i9pcY8oWgalAaRaKN57//ORY2iF7ctvqg==" saltValue="xxV/cFTpd3R2OOE8pcecsg=="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20">
    <mergeCell ref="B18:F18"/>
    <mergeCell ref="B19:F19"/>
    <mergeCell ref="B20:F20"/>
    <mergeCell ref="B21:F21"/>
    <mergeCell ref="B22:F22"/>
    <mergeCell ref="A15:A17"/>
    <mergeCell ref="B2:I2"/>
    <mergeCell ref="B3:I3"/>
    <mergeCell ref="B4:F4"/>
    <mergeCell ref="H5:I6"/>
    <mergeCell ref="C6:D6"/>
    <mergeCell ref="B9:F9"/>
    <mergeCell ref="B10:F10"/>
    <mergeCell ref="B11:F11"/>
    <mergeCell ref="B12:F12"/>
    <mergeCell ref="B13:F13"/>
    <mergeCell ref="B14:F14"/>
    <mergeCell ref="B15:F15"/>
    <mergeCell ref="B16:F16"/>
    <mergeCell ref="B17:F17"/>
  </mergeCells>
  <pageMargins left="0.25" right="0.25" top="0.5" bottom="0.5" header="0.25" footer="0.25"/>
  <pageSetup paperSize="5" orientation="landscape" r:id="rId5"/>
  <headerFooter alignWithMargins="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7">
    <tabColor theme="5" tint="0.59999389629810485"/>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INPUTS'!D54)&amp;"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701"/>
      <c r="C9" s="673"/>
      <c r="D9" s="676"/>
      <c r="E9" s="618"/>
      <c r="F9" s="618"/>
      <c r="G9" s="618"/>
      <c r="H9" s="618"/>
      <c r="I9" s="618"/>
      <c r="J9" s="618"/>
      <c r="K9" s="618"/>
      <c r="L9" s="630"/>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3450</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697</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8">
    <tabColor theme="5" tint="0.59999389629810485"/>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INPUTS'!D54)&amp;"  (UTILITY  CAPITAL  FUND)"</f>
        <v>SCHEDULE  OF  IMPROVEMENT  AUTHORIZATIONS    (UTILITY  CAPITAL  FUND)</v>
      </c>
      <c r="C2" s="1788"/>
      <c r="D2" s="1788"/>
      <c r="E2" s="1788"/>
      <c r="F2" s="1788"/>
      <c r="G2" s="1788"/>
      <c r="H2" s="1788"/>
      <c r="I2" s="1788"/>
      <c r="J2" s="1788"/>
      <c r="K2" s="1788"/>
      <c r="L2" s="1788"/>
    </row>
    <row r="3" spans="2:21" ht="9.75" customHeight="1" thickBot="1">
      <c r="B3" s="1955"/>
      <c r="C3" s="1955"/>
      <c r="D3" s="1955"/>
      <c r="E3" s="1955"/>
      <c r="F3" s="1955"/>
      <c r="G3" s="1955"/>
      <c r="H3" s="1955"/>
      <c r="I3" s="1955"/>
      <c r="J3" s="1955"/>
      <c r="K3" s="1955"/>
      <c r="L3" s="1955"/>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3545</v>
      </c>
      <c r="C9" s="1279"/>
      <c r="D9" s="1280"/>
      <c r="E9" s="1277">
        <f>+'52-Utility3'!E27</f>
        <v>0</v>
      </c>
      <c r="F9" s="1277">
        <f>+'52-Utility3'!F27</f>
        <v>0</v>
      </c>
      <c r="G9" s="1277">
        <f>+'52-Utility3'!G27</f>
        <v>0</v>
      </c>
      <c r="H9" s="1277">
        <f>+'52-Utility3'!H27</f>
        <v>0</v>
      </c>
      <c r="I9" s="1277">
        <f>+'52-Utility3'!I27</f>
        <v>0</v>
      </c>
      <c r="J9" s="1277">
        <f>+'52-Utility3'!J27</f>
        <v>0</v>
      </c>
      <c r="K9" s="1277">
        <f>+'52-Utility3'!K27</f>
        <v>0</v>
      </c>
      <c r="L9" s="1281">
        <f>+'52-Utility3'!L27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3651</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B2:O52"/>
  <sheetViews>
    <sheetView zoomScaleNormal="100" workbookViewId="0">
      <selection activeCell="B1" sqref="B1"/>
    </sheetView>
  </sheetViews>
  <sheetFormatPr defaultColWidth="9.109375" defaultRowHeight="13.2"/>
  <cols>
    <col min="1" max="3" width="4.6640625" style="322" customWidth="1"/>
    <col min="4" max="4" width="9.109375" style="322"/>
    <col min="5" max="5" width="11.88671875" style="322" customWidth="1"/>
    <col min="6" max="6" width="1.6640625" style="322" customWidth="1"/>
    <col min="7" max="7" width="14.6640625" style="322" customWidth="1"/>
    <col min="8" max="8" width="1.6640625" style="322" customWidth="1"/>
    <col min="9" max="9" width="14.6640625" style="322" customWidth="1"/>
    <col min="10" max="10" width="1.6640625" style="322" customWidth="1"/>
    <col min="11" max="11" width="14.6640625" style="322" customWidth="1"/>
    <col min="12" max="12" width="1.6640625" style="322" customWidth="1"/>
    <col min="13" max="13" width="14.6640625" style="322" customWidth="1"/>
    <col min="14" max="14" width="10.88671875" style="322" bestFit="1" customWidth="1"/>
    <col min="15" max="16384" width="9.109375" style="322"/>
  </cols>
  <sheetData>
    <row r="2" spans="2:15" ht="20.399999999999999">
      <c r="B2" s="1508" t="s">
        <v>3640</v>
      </c>
      <c r="C2" s="1508"/>
      <c r="D2" s="1508"/>
      <c r="E2" s="1508"/>
      <c r="F2" s="1508"/>
      <c r="G2" s="1508"/>
      <c r="H2" s="1508"/>
      <c r="I2" s="1508"/>
      <c r="J2" s="1508"/>
      <c r="K2" s="1508"/>
      <c r="L2" s="1508"/>
      <c r="M2" s="1508"/>
    </row>
    <row r="3" spans="2:15">
      <c r="B3" s="1511"/>
      <c r="C3" s="1511"/>
      <c r="D3" s="1511"/>
      <c r="E3" s="1511"/>
      <c r="F3" s="1511"/>
      <c r="G3" s="1511"/>
      <c r="H3" s="1511"/>
      <c r="I3" s="1511"/>
      <c r="J3" s="1511"/>
      <c r="K3" s="1511"/>
      <c r="L3" s="1511"/>
      <c r="M3" s="1511"/>
    </row>
    <row r="5" spans="2:15">
      <c r="B5" s="1572"/>
      <c r="C5" s="1572"/>
      <c r="D5" s="1572"/>
      <c r="G5" s="733" t="s">
        <v>533</v>
      </c>
      <c r="I5" s="735"/>
      <c r="K5" s="735"/>
    </row>
    <row r="6" spans="2:15">
      <c r="B6" s="1572"/>
      <c r="C6" s="1572"/>
      <c r="D6" s="1572"/>
      <c r="G6" s="297" t="str">
        <f>'KEY INPUTS'!D45</f>
        <v>Dec. 31, 2018</v>
      </c>
      <c r="I6" s="733"/>
      <c r="K6" s="733"/>
      <c r="M6" s="733" t="s">
        <v>671</v>
      </c>
    </row>
    <row r="7" spans="2:15">
      <c r="G7" s="733" t="s">
        <v>552</v>
      </c>
      <c r="I7" s="733"/>
      <c r="K7" s="733"/>
      <c r="M7" s="733" t="s">
        <v>556</v>
      </c>
    </row>
    <row r="8" spans="2:15">
      <c r="B8" s="1572" t="s">
        <v>532</v>
      </c>
      <c r="C8" s="1572"/>
      <c r="D8" s="1572"/>
      <c r="G8" s="735" t="s">
        <v>551</v>
      </c>
      <c r="I8" s="735" t="s">
        <v>546</v>
      </c>
      <c r="K8" s="735" t="s">
        <v>677</v>
      </c>
      <c r="M8" s="294" t="str">
        <f>'KEY INPUTS'!D46</f>
        <v>Dec. 31, 2019</v>
      </c>
    </row>
    <row r="9" spans="2:15">
      <c r="B9" s="735"/>
      <c r="C9" s="735"/>
      <c r="D9" s="735"/>
      <c r="G9" s="250"/>
      <c r="I9" s="735"/>
      <c r="K9" s="735"/>
      <c r="M9" s="133"/>
    </row>
    <row r="10" spans="2:15" ht="21" customHeight="1">
      <c r="B10" s="856" t="s">
        <v>3539</v>
      </c>
      <c r="C10" s="857"/>
      <c r="D10" s="857"/>
      <c r="E10" s="857"/>
      <c r="F10" s="839"/>
      <c r="G10" s="858">
        <f>+'6b-Trust Fund Reserves'!G48</f>
        <v>2842145.7200000007</v>
      </c>
      <c r="H10" s="839"/>
      <c r="I10" s="858">
        <f>+'6b-Trust Fund Reserves'!I48</f>
        <v>8873567.6899999995</v>
      </c>
      <c r="J10" s="839"/>
      <c r="K10" s="858">
        <f>+'6b-Trust Fund Reserves'!K48</f>
        <v>8562204.4100000001</v>
      </c>
      <c r="L10" s="839"/>
      <c r="M10" s="855">
        <f>+'6b-Trust Fund Reserves'!M48</f>
        <v>3153509</v>
      </c>
      <c r="N10" s="325"/>
    </row>
    <row r="11" spans="2:15" ht="21" customHeight="1">
      <c r="B11" s="375"/>
      <c r="C11" s="375"/>
      <c r="D11" s="375"/>
      <c r="E11" s="375"/>
      <c r="F11" s="397"/>
      <c r="G11" s="376"/>
      <c r="H11" s="397"/>
      <c r="I11" s="376"/>
      <c r="J11" s="397"/>
      <c r="K11" s="376"/>
      <c r="L11" s="379"/>
      <c r="M11" s="855">
        <f t="shared" ref="M11:M47" si="0">+G11+I11-K11</f>
        <v>0</v>
      </c>
      <c r="N11" s="325"/>
    </row>
    <row r="12" spans="2:15" ht="21" customHeight="1">
      <c r="B12" s="375"/>
      <c r="C12" s="375"/>
      <c r="D12" s="375"/>
      <c r="E12" s="375"/>
      <c r="F12" s="397"/>
      <c r="G12" s="376"/>
      <c r="H12" s="397"/>
      <c r="I12" s="376"/>
      <c r="J12" s="397"/>
      <c r="K12" s="376"/>
      <c r="L12" s="379"/>
      <c r="M12" s="855">
        <f t="shared" si="0"/>
        <v>0</v>
      </c>
      <c r="N12" s="325"/>
    </row>
    <row r="13" spans="2:15" ht="21" customHeight="1">
      <c r="B13" s="375"/>
      <c r="C13" s="375"/>
      <c r="D13" s="375"/>
      <c r="E13" s="375"/>
      <c r="F13" s="397"/>
      <c r="G13" s="376"/>
      <c r="H13" s="397"/>
      <c r="I13" s="665"/>
      <c r="J13" s="397"/>
      <c r="K13" s="376"/>
      <c r="L13" s="379"/>
      <c r="M13" s="855">
        <f t="shared" si="0"/>
        <v>0</v>
      </c>
      <c r="N13" s="325"/>
      <c r="O13" s="377"/>
    </row>
    <row r="14" spans="2:15" ht="21" customHeight="1">
      <c r="B14" s="666"/>
      <c r="C14" s="375"/>
      <c r="D14" s="375"/>
      <c r="E14" s="375"/>
      <c r="F14" s="397"/>
      <c r="G14" s="376"/>
      <c r="H14" s="397"/>
      <c r="I14" s="376"/>
      <c r="J14" s="397"/>
      <c r="K14" s="376"/>
      <c r="L14" s="379"/>
      <c r="M14" s="855">
        <f t="shared" si="0"/>
        <v>0</v>
      </c>
      <c r="N14" s="325"/>
    </row>
    <row r="15" spans="2:15" ht="21" customHeight="1">
      <c r="B15" s="375"/>
      <c r="C15" s="375"/>
      <c r="D15" s="375"/>
      <c r="E15" s="375"/>
      <c r="F15" s="397"/>
      <c r="G15" s="376"/>
      <c r="H15" s="397"/>
      <c r="I15" s="376"/>
      <c r="J15" s="397"/>
      <c r="K15" s="376"/>
      <c r="L15" s="379"/>
      <c r="M15" s="855">
        <f t="shared" si="0"/>
        <v>0</v>
      </c>
      <c r="N15" s="325"/>
    </row>
    <row r="16" spans="2:15" ht="21" customHeight="1">
      <c r="B16" s="375"/>
      <c r="C16" s="375"/>
      <c r="D16" s="375"/>
      <c r="E16" s="375"/>
      <c r="F16" s="397"/>
      <c r="G16" s="376"/>
      <c r="H16" s="397"/>
      <c r="I16" s="376"/>
      <c r="J16" s="397"/>
      <c r="K16" s="376"/>
      <c r="L16" s="379"/>
      <c r="M16" s="855">
        <f t="shared" si="0"/>
        <v>0</v>
      </c>
      <c r="N16" s="325"/>
    </row>
    <row r="17" spans="2:14" ht="21" customHeight="1">
      <c r="B17" s="375"/>
      <c r="C17" s="375"/>
      <c r="D17" s="375"/>
      <c r="E17" s="375"/>
      <c r="F17" s="397"/>
      <c r="G17" s="376"/>
      <c r="H17" s="397"/>
      <c r="I17" s="376"/>
      <c r="J17" s="397"/>
      <c r="K17" s="376"/>
      <c r="L17" s="379"/>
      <c r="M17" s="855">
        <f t="shared" si="0"/>
        <v>0</v>
      </c>
      <c r="N17" s="325"/>
    </row>
    <row r="18" spans="2:14" ht="21" customHeight="1">
      <c r="B18" s="375"/>
      <c r="C18" s="375"/>
      <c r="D18" s="375"/>
      <c r="E18" s="375"/>
      <c r="F18" s="397"/>
      <c r="G18" s="376"/>
      <c r="H18" s="397"/>
      <c r="I18" s="376"/>
      <c r="J18" s="397"/>
      <c r="K18" s="376"/>
      <c r="L18" s="379"/>
      <c r="M18" s="855">
        <f t="shared" si="0"/>
        <v>0</v>
      </c>
      <c r="N18" s="325"/>
    </row>
    <row r="19" spans="2:14" ht="21" customHeight="1">
      <c r="B19" s="666"/>
      <c r="C19" s="375"/>
      <c r="D19" s="375"/>
      <c r="E19" s="375"/>
      <c r="F19" s="397"/>
      <c r="G19" s="376"/>
      <c r="H19" s="397"/>
      <c r="I19" s="376"/>
      <c r="J19" s="397"/>
      <c r="K19" s="376"/>
      <c r="L19" s="379"/>
      <c r="M19" s="855">
        <f t="shared" si="0"/>
        <v>0</v>
      </c>
      <c r="N19" s="325"/>
    </row>
    <row r="20" spans="2:14" ht="21" customHeight="1">
      <c r="B20" s="666"/>
      <c r="C20" s="375"/>
      <c r="D20" s="375"/>
      <c r="E20" s="375"/>
      <c r="F20" s="397"/>
      <c r="G20" s="376"/>
      <c r="H20" s="397"/>
      <c r="I20" s="376"/>
      <c r="J20" s="397"/>
      <c r="K20" s="376"/>
      <c r="L20" s="379"/>
      <c r="M20" s="855">
        <f t="shared" si="0"/>
        <v>0</v>
      </c>
      <c r="N20" s="325"/>
    </row>
    <row r="21" spans="2:14" ht="21" customHeight="1">
      <c r="B21" s="666"/>
      <c r="C21" s="375"/>
      <c r="D21" s="375"/>
      <c r="E21" s="375"/>
      <c r="F21" s="397"/>
      <c r="G21" s="376"/>
      <c r="H21" s="397"/>
      <c r="I21" s="376"/>
      <c r="J21" s="397"/>
      <c r="K21" s="376"/>
      <c r="L21" s="379"/>
      <c r="M21" s="855">
        <f t="shared" si="0"/>
        <v>0</v>
      </c>
      <c r="N21" s="325"/>
    </row>
    <row r="22" spans="2:14" ht="21" customHeight="1">
      <c r="B22" s="666"/>
      <c r="C22" s="375"/>
      <c r="D22" s="375"/>
      <c r="E22" s="375"/>
      <c r="F22" s="397"/>
      <c r="G22" s="376"/>
      <c r="H22" s="397"/>
      <c r="I22" s="376"/>
      <c r="J22" s="397"/>
      <c r="K22" s="376"/>
      <c r="L22" s="379"/>
      <c r="M22" s="855">
        <f t="shared" si="0"/>
        <v>0</v>
      </c>
      <c r="N22" s="325"/>
    </row>
    <row r="23" spans="2:14" ht="21" customHeight="1">
      <c r="B23" s="666"/>
      <c r="C23" s="375"/>
      <c r="D23" s="375"/>
      <c r="E23" s="375"/>
      <c r="F23" s="397"/>
      <c r="G23" s="376"/>
      <c r="H23" s="397"/>
      <c r="I23" s="376"/>
      <c r="J23" s="397"/>
      <c r="K23" s="376"/>
      <c r="L23" s="379"/>
      <c r="M23" s="855">
        <f t="shared" si="0"/>
        <v>0</v>
      </c>
      <c r="N23" s="325"/>
    </row>
    <row r="24" spans="2:14" ht="21" customHeight="1">
      <c r="B24" s="666"/>
      <c r="C24" s="375"/>
      <c r="D24" s="375"/>
      <c r="E24" s="375"/>
      <c r="F24" s="397"/>
      <c r="G24" s="376"/>
      <c r="H24" s="397"/>
      <c r="I24" s="376"/>
      <c r="J24" s="397"/>
      <c r="K24" s="376"/>
      <c r="L24" s="379"/>
      <c r="M24" s="855">
        <f t="shared" si="0"/>
        <v>0</v>
      </c>
      <c r="N24" s="325"/>
    </row>
    <row r="25" spans="2:14" ht="21" customHeight="1">
      <c r="B25" s="375"/>
      <c r="C25" s="375"/>
      <c r="D25" s="375"/>
      <c r="E25" s="375"/>
      <c r="F25" s="397"/>
      <c r="G25" s="376"/>
      <c r="H25" s="397"/>
      <c r="I25" s="376"/>
      <c r="J25" s="397"/>
      <c r="K25" s="376"/>
      <c r="L25" s="379"/>
      <c r="M25" s="855">
        <f t="shared" si="0"/>
        <v>0</v>
      </c>
      <c r="N25" s="325"/>
    </row>
    <row r="26" spans="2:14" ht="21" customHeight="1">
      <c r="B26" s="375"/>
      <c r="C26" s="375"/>
      <c r="D26" s="375"/>
      <c r="E26" s="375"/>
      <c r="F26" s="397"/>
      <c r="G26" s="376"/>
      <c r="H26" s="397"/>
      <c r="I26" s="376"/>
      <c r="J26" s="397"/>
      <c r="K26" s="376"/>
      <c r="L26" s="379"/>
      <c r="M26" s="855">
        <f t="shared" si="0"/>
        <v>0</v>
      </c>
    </row>
    <row r="27" spans="2:14" ht="21" customHeight="1">
      <c r="B27" s="375"/>
      <c r="C27" s="375"/>
      <c r="D27" s="375"/>
      <c r="E27" s="375"/>
      <c r="F27" s="397"/>
      <c r="G27" s="376"/>
      <c r="H27" s="397"/>
      <c r="I27" s="376"/>
      <c r="J27" s="397"/>
      <c r="K27" s="376"/>
      <c r="L27" s="379"/>
      <c r="M27" s="855">
        <f t="shared" si="0"/>
        <v>0</v>
      </c>
    </row>
    <row r="28" spans="2:14" ht="21" customHeight="1">
      <c r="B28" s="375"/>
      <c r="C28" s="375"/>
      <c r="D28" s="375"/>
      <c r="E28" s="375"/>
      <c r="F28" s="397"/>
      <c r="G28" s="376"/>
      <c r="H28" s="397"/>
      <c r="I28" s="376"/>
      <c r="J28" s="397"/>
      <c r="K28" s="376"/>
      <c r="L28" s="379"/>
      <c r="M28" s="855">
        <f t="shared" si="0"/>
        <v>0</v>
      </c>
    </row>
    <row r="29" spans="2:14" ht="21" customHeight="1">
      <c r="B29" s="375"/>
      <c r="C29" s="375"/>
      <c r="D29" s="375"/>
      <c r="E29" s="375"/>
      <c r="F29" s="397"/>
      <c r="G29" s="376"/>
      <c r="H29" s="397"/>
      <c r="I29" s="376"/>
      <c r="J29" s="397"/>
      <c r="K29" s="376"/>
      <c r="L29" s="379"/>
      <c r="M29" s="855">
        <f t="shared" si="0"/>
        <v>0</v>
      </c>
    </row>
    <row r="30" spans="2:14" ht="21" customHeight="1">
      <c r="B30" s="375"/>
      <c r="C30" s="375"/>
      <c r="D30" s="375"/>
      <c r="E30" s="375"/>
      <c r="F30" s="397"/>
      <c r="G30" s="376"/>
      <c r="H30" s="397"/>
      <c r="I30" s="376"/>
      <c r="J30" s="397"/>
      <c r="K30" s="376"/>
      <c r="L30" s="379"/>
      <c r="M30" s="855">
        <f t="shared" si="0"/>
        <v>0</v>
      </c>
    </row>
    <row r="31" spans="2:14" ht="21" customHeight="1">
      <c r="B31" s="375"/>
      <c r="C31" s="375"/>
      <c r="D31" s="375"/>
      <c r="E31" s="375"/>
      <c r="F31" s="397"/>
      <c r="G31" s="376"/>
      <c r="H31" s="397"/>
      <c r="I31" s="376"/>
      <c r="J31" s="397"/>
      <c r="K31" s="376"/>
      <c r="L31" s="379"/>
      <c r="M31" s="855">
        <f t="shared" si="0"/>
        <v>0</v>
      </c>
    </row>
    <row r="32" spans="2:14" ht="21" customHeight="1">
      <c r="B32" s="375"/>
      <c r="C32" s="375"/>
      <c r="D32" s="375"/>
      <c r="E32" s="375"/>
      <c r="F32" s="397"/>
      <c r="G32" s="376"/>
      <c r="H32" s="397"/>
      <c r="I32" s="376"/>
      <c r="J32" s="397"/>
      <c r="K32" s="376"/>
      <c r="L32" s="379"/>
      <c r="M32" s="855">
        <f t="shared" si="0"/>
        <v>0</v>
      </c>
    </row>
    <row r="33" spans="2:13" ht="21" customHeight="1">
      <c r="B33" s="375"/>
      <c r="C33" s="375"/>
      <c r="D33" s="375"/>
      <c r="E33" s="375"/>
      <c r="F33" s="397"/>
      <c r="G33" s="376"/>
      <c r="H33" s="397"/>
      <c r="I33" s="376"/>
      <c r="J33" s="397"/>
      <c r="K33" s="376"/>
      <c r="L33" s="379"/>
      <c r="M33" s="855">
        <f t="shared" si="0"/>
        <v>0</v>
      </c>
    </row>
    <row r="34" spans="2:13" ht="21" customHeight="1">
      <c r="B34" s="375"/>
      <c r="C34" s="375"/>
      <c r="D34" s="375"/>
      <c r="E34" s="375"/>
      <c r="F34" s="397"/>
      <c r="G34" s="376"/>
      <c r="H34" s="397"/>
      <c r="I34" s="376"/>
      <c r="J34" s="397"/>
      <c r="K34" s="376"/>
      <c r="L34" s="379"/>
      <c r="M34" s="855">
        <f t="shared" si="0"/>
        <v>0</v>
      </c>
    </row>
    <row r="35" spans="2:13" ht="21" customHeight="1">
      <c r="B35" s="375"/>
      <c r="C35" s="375"/>
      <c r="D35" s="375"/>
      <c r="E35" s="375"/>
      <c r="F35" s="397"/>
      <c r="G35" s="376"/>
      <c r="H35" s="397"/>
      <c r="I35" s="376"/>
      <c r="J35" s="397"/>
      <c r="K35" s="376"/>
      <c r="L35" s="379"/>
      <c r="M35" s="855">
        <f t="shared" si="0"/>
        <v>0</v>
      </c>
    </row>
    <row r="36" spans="2:13" ht="21" customHeight="1">
      <c r="B36" s="375"/>
      <c r="C36" s="375"/>
      <c r="D36" s="375"/>
      <c r="E36" s="375"/>
      <c r="F36" s="397"/>
      <c r="G36" s="376"/>
      <c r="H36" s="397"/>
      <c r="I36" s="376"/>
      <c r="J36" s="397"/>
      <c r="K36" s="376"/>
      <c r="L36" s="379"/>
      <c r="M36" s="855">
        <f t="shared" si="0"/>
        <v>0</v>
      </c>
    </row>
    <row r="37" spans="2:13" ht="21" customHeight="1">
      <c r="B37" s="375"/>
      <c r="C37" s="375"/>
      <c r="D37" s="375"/>
      <c r="E37" s="375"/>
      <c r="F37" s="397"/>
      <c r="G37" s="376"/>
      <c r="H37" s="397"/>
      <c r="I37" s="376"/>
      <c r="J37" s="397"/>
      <c r="K37" s="376"/>
      <c r="L37" s="379"/>
      <c r="M37" s="855">
        <f t="shared" si="0"/>
        <v>0</v>
      </c>
    </row>
    <row r="38" spans="2:13" ht="21" customHeight="1">
      <c r="B38" s="375"/>
      <c r="C38" s="375"/>
      <c r="D38" s="375"/>
      <c r="E38" s="375"/>
      <c r="F38" s="397"/>
      <c r="G38" s="376"/>
      <c r="H38" s="397"/>
      <c r="I38" s="376"/>
      <c r="J38" s="397"/>
      <c r="K38" s="376"/>
      <c r="L38" s="379"/>
      <c r="M38" s="855">
        <f t="shared" si="0"/>
        <v>0</v>
      </c>
    </row>
    <row r="39" spans="2:13" ht="21" customHeight="1">
      <c r="B39" s="375"/>
      <c r="C39" s="375"/>
      <c r="D39" s="375"/>
      <c r="E39" s="375"/>
      <c r="F39" s="397"/>
      <c r="G39" s="376"/>
      <c r="H39" s="397"/>
      <c r="I39" s="376"/>
      <c r="J39" s="397"/>
      <c r="K39" s="376"/>
      <c r="L39" s="379"/>
      <c r="M39" s="855">
        <f t="shared" si="0"/>
        <v>0</v>
      </c>
    </row>
    <row r="40" spans="2:13" ht="21" customHeight="1">
      <c r="B40" s="375"/>
      <c r="C40" s="375"/>
      <c r="D40" s="375"/>
      <c r="E40" s="375"/>
      <c r="F40" s="397"/>
      <c r="G40" s="376"/>
      <c r="H40" s="397"/>
      <c r="I40" s="376"/>
      <c r="J40" s="397"/>
      <c r="K40" s="376"/>
      <c r="L40" s="379"/>
      <c r="M40" s="855">
        <f t="shared" si="0"/>
        <v>0</v>
      </c>
    </row>
    <row r="41" spans="2:13" ht="21" customHeight="1">
      <c r="B41" s="375"/>
      <c r="C41" s="375"/>
      <c r="D41" s="375"/>
      <c r="E41" s="375"/>
      <c r="F41" s="397"/>
      <c r="G41" s="376"/>
      <c r="H41" s="397"/>
      <c r="I41" s="376"/>
      <c r="J41" s="397"/>
      <c r="K41" s="376"/>
      <c r="L41" s="379"/>
      <c r="M41" s="855">
        <f t="shared" si="0"/>
        <v>0</v>
      </c>
    </row>
    <row r="42" spans="2:13" ht="21" customHeight="1">
      <c r="B42" s="375"/>
      <c r="C42" s="375"/>
      <c r="D42" s="375"/>
      <c r="E42" s="375"/>
      <c r="F42" s="397"/>
      <c r="G42" s="376"/>
      <c r="H42" s="397"/>
      <c r="I42" s="376"/>
      <c r="J42" s="397"/>
      <c r="K42" s="376"/>
      <c r="L42" s="379"/>
      <c r="M42" s="855">
        <f t="shared" si="0"/>
        <v>0</v>
      </c>
    </row>
    <row r="43" spans="2:13" ht="21" customHeight="1">
      <c r="B43" s="375"/>
      <c r="C43" s="375"/>
      <c r="D43" s="375"/>
      <c r="E43" s="375"/>
      <c r="F43" s="397"/>
      <c r="G43" s="376"/>
      <c r="H43" s="397"/>
      <c r="I43" s="376"/>
      <c r="J43" s="397"/>
      <c r="K43" s="376"/>
      <c r="L43" s="379"/>
      <c r="M43" s="855">
        <f t="shared" si="0"/>
        <v>0</v>
      </c>
    </row>
    <row r="44" spans="2:13" ht="21" customHeight="1">
      <c r="B44" s="375"/>
      <c r="C44" s="375"/>
      <c r="D44" s="375"/>
      <c r="E44" s="375"/>
      <c r="F44" s="397"/>
      <c r="G44" s="376"/>
      <c r="H44" s="397"/>
      <c r="I44" s="376"/>
      <c r="J44" s="397"/>
      <c r="K44" s="376"/>
      <c r="L44" s="379"/>
      <c r="M44" s="855">
        <f t="shared" si="0"/>
        <v>0</v>
      </c>
    </row>
    <row r="45" spans="2:13" ht="21" customHeight="1">
      <c r="B45" s="375"/>
      <c r="C45" s="375"/>
      <c r="D45" s="375"/>
      <c r="E45" s="375"/>
      <c r="F45" s="397"/>
      <c r="G45" s="376"/>
      <c r="H45" s="397"/>
      <c r="I45" s="376"/>
      <c r="J45" s="397"/>
      <c r="K45" s="376"/>
      <c r="L45" s="379"/>
      <c r="M45" s="855">
        <f t="shared" si="0"/>
        <v>0</v>
      </c>
    </row>
    <row r="46" spans="2:13" ht="21" customHeight="1">
      <c r="B46" s="375"/>
      <c r="C46" s="375"/>
      <c r="D46" s="375"/>
      <c r="E46" s="375"/>
      <c r="F46" s="397"/>
      <c r="G46" s="376"/>
      <c r="H46" s="397"/>
      <c r="I46" s="376"/>
      <c r="J46" s="397"/>
      <c r="K46" s="376"/>
      <c r="L46" s="379"/>
      <c r="M46" s="855">
        <f t="shared" si="0"/>
        <v>0</v>
      </c>
    </row>
    <row r="47" spans="2:13" ht="21" customHeight="1">
      <c r="B47" s="375"/>
      <c r="C47" s="375"/>
      <c r="D47" s="375"/>
      <c r="E47" s="375"/>
      <c r="F47" s="397"/>
      <c r="G47" s="376"/>
      <c r="H47" s="397"/>
      <c r="I47" s="376"/>
      <c r="J47" s="397"/>
      <c r="K47" s="376"/>
      <c r="L47" s="379"/>
      <c r="M47" s="855">
        <f t="shared" si="0"/>
        <v>0</v>
      </c>
    </row>
    <row r="48" spans="2:13" ht="21" customHeight="1">
      <c r="B48" s="286"/>
      <c r="C48" s="286"/>
      <c r="D48" s="151" t="s">
        <v>3538</v>
      </c>
      <c r="E48" s="286"/>
      <c r="F48" s="322" t="s">
        <v>482</v>
      </c>
      <c r="G48" s="160">
        <f>SUM(G10:G47)</f>
        <v>2842145.7200000007</v>
      </c>
      <c r="H48" s="322" t="s">
        <v>482</v>
      </c>
      <c r="I48" s="160">
        <f>SUM(I10:I47)</f>
        <v>8873567.6899999995</v>
      </c>
      <c r="J48" s="322" t="s">
        <v>482</v>
      </c>
      <c r="K48" s="160">
        <f>SUM(K10:K47)</f>
        <v>8562204.4100000001</v>
      </c>
      <c r="L48" s="322" t="s">
        <v>482</v>
      </c>
      <c r="M48" s="855">
        <f>SUM(M10:M47)</f>
        <v>3153509</v>
      </c>
    </row>
    <row r="50" spans="2:13" ht="13.8">
      <c r="B50" s="1573" t="s">
        <v>3536</v>
      </c>
      <c r="C50" s="1573"/>
      <c r="D50" s="1573"/>
      <c r="E50" s="1573"/>
      <c r="F50" s="1573"/>
      <c r="G50" s="1573"/>
      <c r="H50" s="1573"/>
      <c r="I50" s="1573"/>
      <c r="J50" s="1573"/>
      <c r="K50" s="1573"/>
      <c r="L50" s="1573"/>
      <c r="M50" s="1573"/>
    </row>
    <row r="52" spans="2:13">
      <c r="G52" s="325"/>
      <c r="M52" s="325"/>
    </row>
  </sheetData>
  <sheetProtection algorithmName="SHA-512" hashValue="dIdhN8O8Y6iDr/1leGl/2fvL5g3vZ3jMwz3Iz7d95+YQl/PROnatuoD0j+AR1VXF7rUqhOCYvU5qD8ombm+9IQ==" saltValue="3Ak4msNZ4UfXeYfsF6SCFA==" spinCount="100000" sheet="1" scenarios="1"/>
  <customSheetViews>
    <customSheetView guid="{AC653BD0-46E3-42CB-9C76-32121A57B65A}" state="hidden">
      <selection activeCell="B1" sqref="B1"/>
      <pageMargins left="0.25" right="0.25" top="0.5" bottom="0.5" header="0.25" footer="0.25"/>
      <pageSetup paperSize="5" scale="98" orientation="portrait" r:id="rId1"/>
      <headerFooter alignWithMargins="0"/>
    </customSheetView>
    <customSheetView guid="{B165479B-DC25-403C-9595-F1A88A4AA9A2}" state="hidden">
      <selection activeCell="B1" sqref="B1"/>
      <pageMargins left="0.25" right="0.25" top="0.5" bottom="0.5" header="0.25" footer="0.25"/>
      <pageSetup paperSize="5" scale="98" orientation="portrait" r:id="rId2"/>
      <headerFooter alignWithMargins="0"/>
    </customSheetView>
    <customSheetView guid="{A64E4C9E-A3DA-4AAA-8607-F524450B9436}" state="hidden">
      <selection activeCell="B1" sqref="B1"/>
      <pageMargins left="0.25" right="0.25" top="0.5" bottom="0.5" header="0.25" footer="0.25"/>
      <pageSetup paperSize="5" scale="98" orientation="portrait" r:id="rId3"/>
      <headerFooter alignWithMargins="0"/>
    </customSheetView>
    <customSheetView guid="{AB4FBD91-4533-473A-9702-569FF6402073}" state="hidden">
      <selection activeCell="B1" sqref="B1"/>
      <pageMargins left="0.25" right="0.25" top="0.5" bottom="0.5" header="0.25" footer="0.25"/>
      <pageSetup paperSize="5" scale="98" orientation="portrait" r:id="rId4"/>
      <headerFooter alignWithMargins="0"/>
    </customSheetView>
  </customSheetViews>
  <mergeCells count="6">
    <mergeCell ref="B50:M50"/>
    <mergeCell ref="B2:M2"/>
    <mergeCell ref="B3:M3"/>
    <mergeCell ref="B5:D5"/>
    <mergeCell ref="B6:D6"/>
    <mergeCell ref="B8:D8"/>
  </mergeCells>
  <pageMargins left="0.25" right="0.25" top="0.5" bottom="0.5" header="0.25" footer="0.25"/>
  <pageSetup paperSize="5" scale="98" orientation="portrait" r:id="rId5"/>
  <headerFooter alignWithMargins="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19">
    <tabColor theme="5" tint="0.59999389629810485"/>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INPUTS'!D54)&amp;"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3545</v>
      </c>
      <c r="C9" s="1279"/>
      <c r="D9" s="1280"/>
      <c r="E9" s="1277">
        <f>+'52.1-Utility3'!E27</f>
        <v>0</v>
      </c>
      <c r="F9" s="1277">
        <f>+'52.1-Utility3'!F27</f>
        <v>0</v>
      </c>
      <c r="G9" s="1277">
        <f>+'52.1-Utility3'!G27</f>
        <v>0</v>
      </c>
      <c r="H9" s="1277">
        <f>+'52.1-Utility3'!H27</f>
        <v>0</v>
      </c>
      <c r="I9" s="1277">
        <f>+'52.1-Utility3'!I27</f>
        <v>0</v>
      </c>
      <c r="J9" s="1277">
        <f>+'52.1-Utility3'!J27</f>
        <v>0</v>
      </c>
      <c r="K9" s="1277">
        <f>+'52.1-Utility3'!K27</f>
        <v>0</v>
      </c>
      <c r="L9" s="1281">
        <f>+'52.1-Utility3'!L27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3652</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0">
    <tabColor theme="5" tint="0.59999389629810485"/>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INPUTS'!D54)&amp;"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3545</v>
      </c>
      <c r="C9" s="1279"/>
      <c r="D9" s="1280"/>
      <c r="E9" s="1277">
        <f>+'52.2-Utility3'!E27</f>
        <v>0</v>
      </c>
      <c r="F9" s="1277">
        <f>+'52.2-Utility3'!F27</f>
        <v>0</v>
      </c>
      <c r="G9" s="1277">
        <f>+'52.2-Utility3'!G27</f>
        <v>0</v>
      </c>
      <c r="H9" s="1277">
        <f>+'52.2-Utility3'!H27</f>
        <v>0</v>
      </c>
      <c r="I9" s="1277">
        <f>+'52.2-Utility3'!I27</f>
        <v>0</v>
      </c>
      <c r="J9" s="1277">
        <f>+'52.2-Utility3'!J27</f>
        <v>0</v>
      </c>
      <c r="K9" s="1277">
        <f>+'52.2-Utility3'!K27</f>
        <v>0</v>
      </c>
      <c r="L9" s="1281">
        <f>+'52.2-Utility3'!L27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3653</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1">
    <tabColor theme="5" tint="0.59999389629810485"/>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INPUTS'!D54)&amp;"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84" t="str">
        <f>'KEY INPUTS'!D25</f>
        <v>Balance - January 1, 2019</v>
      </c>
      <c r="F4" s="1885"/>
      <c r="G4" s="1143"/>
      <c r="H4" s="1143"/>
      <c r="I4" s="1143"/>
      <c r="J4" s="1143"/>
      <c r="K4" s="1890" t="str">
        <f>'KEY INPUTS'!D26</f>
        <v>Balance - December 31, 2019</v>
      </c>
      <c r="L4" s="1891"/>
    </row>
    <row r="5" spans="2:21" ht="13.5" customHeight="1">
      <c r="B5" s="1787" t="s">
        <v>656</v>
      </c>
      <c r="C5" s="1787"/>
      <c r="D5" s="1871"/>
      <c r="E5" s="1886"/>
      <c r="F5" s="1887"/>
      <c r="G5" s="1151"/>
      <c r="H5" s="1151"/>
      <c r="I5" s="1151"/>
      <c r="J5" s="1151"/>
      <c r="K5" s="1892"/>
      <c r="L5" s="1893"/>
    </row>
    <row r="6" spans="2:21" ht="13.5" customHeight="1">
      <c r="B6" s="1787" t="s">
        <v>657</v>
      </c>
      <c r="C6" s="1787"/>
      <c r="D6" s="1871"/>
      <c r="E6" s="1888"/>
      <c r="F6" s="1889"/>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3545</v>
      </c>
      <c r="C9" s="1279"/>
      <c r="D9" s="1280"/>
      <c r="E9" s="1277">
        <f>+'52.3-Utility3'!E27</f>
        <v>0</v>
      </c>
      <c r="F9" s="1277">
        <f>+'52.3-Utility3'!F27</f>
        <v>0</v>
      </c>
      <c r="G9" s="1277">
        <f>+'52.3-Utility3'!G27</f>
        <v>0</v>
      </c>
      <c r="H9" s="1277">
        <f>+'52.3-Utility3'!H27</f>
        <v>0</v>
      </c>
      <c r="I9" s="1277">
        <f>+'52.3-Utility3'!I27</f>
        <v>0</v>
      </c>
      <c r="J9" s="1277">
        <f>+'52.3-Utility3'!J27</f>
        <v>0</v>
      </c>
      <c r="K9" s="1277">
        <f>+'52.3-Utility3'!K27</f>
        <v>0</v>
      </c>
      <c r="L9" s="1281">
        <f>+'52.3-Utility3'!L27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3656</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544"/>
      <c r="C27" s="413"/>
      <c r="D27" s="514" t="s">
        <v>3655</v>
      </c>
      <c r="E27" s="137">
        <f t="shared" ref="E27:L27" si="0">SUM(E9:E26)</f>
        <v>0</v>
      </c>
      <c r="F27" s="137">
        <f t="shared" si="0"/>
        <v>0</v>
      </c>
      <c r="G27" s="137">
        <f t="shared" si="0"/>
        <v>0</v>
      </c>
      <c r="H27" s="137">
        <f t="shared" si="0"/>
        <v>0</v>
      </c>
      <c r="I27" s="137">
        <f t="shared" si="0"/>
        <v>0</v>
      </c>
      <c r="J27" s="137">
        <f t="shared" si="0"/>
        <v>0</v>
      </c>
      <c r="K27" s="137">
        <f t="shared" si="0"/>
        <v>0</v>
      </c>
      <c r="L27" s="157">
        <f t="shared" si="0"/>
        <v>0</v>
      </c>
    </row>
    <row r="28" spans="1:21" ht="13.5" customHeight="1" thickTop="1">
      <c r="B28" s="549"/>
      <c r="C28" s="548" t="s">
        <v>663</v>
      </c>
      <c r="D28" s="547"/>
      <c r="E28" s="510"/>
      <c r="F28" s="510"/>
      <c r="G28" s="510"/>
      <c r="H28" s="510"/>
      <c r="I28" s="510"/>
      <c r="J28" s="510"/>
      <c r="K28" s="543"/>
      <c r="L28" s="543"/>
    </row>
    <row r="42" spans="11:12">
      <c r="K42" s="331" t="s">
        <v>3492</v>
      </c>
      <c r="L42" s="553">
        <f>K27+L27</f>
        <v>0</v>
      </c>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2">
    <tabColor theme="5" tint="0.59999389629810485"/>
  </sheetPr>
  <dimension ref="B1:S54"/>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6" width="9.109375" style="331"/>
    <col min="7" max="7" width="14.44140625" style="331" customWidth="1"/>
    <col min="8" max="8" width="15" style="331" customWidth="1"/>
    <col min="9" max="10" width="16.6640625" style="331" customWidth="1"/>
    <col min="11" max="16384" width="9.109375" style="331"/>
  </cols>
  <sheetData>
    <row r="1" spans="2:19">
      <c r="B1" s="1146"/>
      <c r="C1" s="1146"/>
      <c r="D1" s="1146"/>
      <c r="E1" s="1146"/>
      <c r="F1" s="1146"/>
      <c r="G1" s="1146"/>
      <c r="H1" s="1146"/>
      <c r="I1" s="1146"/>
      <c r="J1" s="1146"/>
    </row>
    <row r="2" spans="2:19">
      <c r="B2" s="1146"/>
      <c r="C2" s="1146"/>
      <c r="D2" s="1146"/>
      <c r="E2" s="1146"/>
      <c r="F2" s="1146"/>
      <c r="G2" s="1146"/>
      <c r="H2" s="1146"/>
      <c r="I2" s="1146"/>
      <c r="J2" s="1146"/>
    </row>
    <row r="3" spans="2:19" ht="22.8">
      <c r="B3" s="1759" t="str">
        <f>UPPER('KEY INPUTS'!D$54)&amp;" UTILITY  CAPITAL  FUND"</f>
        <v xml:space="preserve"> UTILITY  CAPITAL  FUND</v>
      </c>
      <c r="C3" s="1759"/>
      <c r="D3" s="1759"/>
      <c r="E3" s="1759"/>
      <c r="F3" s="1759"/>
      <c r="G3" s="1759"/>
      <c r="H3" s="1759"/>
      <c r="I3" s="1759"/>
      <c r="J3" s="1759"/>
    </row>
    <row r="4" spans="2:19">
      <c r="B4" s="1146"/>
      <c r="C4" s="1146"/>
      <c r="D4" s="1146"/>
      <c r="E4" s="1146"/>
      <c r="F4" s="1146"/>
      <c r="G4" s="1146"/>
      <c r="H4" s="1146"/>
      <c r="I4" s="1146"/>
      <c r="J4" s="1146"/>
    </row>
    <row r="5" spans="2:19" ht="15.6">
      <c r="B5" s="1783" t="s">
        <v>667</v>
      </c>
      <c r="C5" s="1783"/>
      <c r="D5" s="1783"/>
      <c r="E5" s="1783"/>
      <c r="F5" s="1783"/>
      <c r="G5" s="1783"/>
      <c r="H5" s="1783"/>
      <c r="I5" s="1783"/>
      <c r="J5" s="1783"/>
    </row>
    <row r="6" spans="2:19" ht="13.8" thickBot="1">
      <c r="B6" s="1146"/>
      <c r="C6" s="1146"/>
      <c r="D6" s="1146"/>
      <c r="E6" s="1146"/>
      <c r="F6" s="1146"/>
      <c r="G6" s="1146"/>
      <c r="H6" s="1146"/>
      <c r="I6" s="1146"/>
      <c r="J6" s="1146"/>
    </row>
    <row r="7" spans="2:19" ht="28.5" customHeight="1" thickTop="1" thickBot="1">
      <c r="B7" s="1388"/>
      <c r="C7" s="1388"/>
      <c r="D7" s="1388"/>
      <c r="E7" s="1388"/>
      <c r="F7" s="1388"/>
      <c r="G7" s="1388"/>
      <c r="H7" s="1388"/>
      <c r="I7" s="1134" t="s">
        <v>125</v>
      </c>
      <c r="J7" s="1135" t="s">
        <v>126</v>
      </c>
    </row>
    <row r="8" spans="2:19" ht="21" customHeight="1" thickTop="1">
      <c r="B8" s="1158" t="str">
        <f>'KEY INPUTS'!D25</f>
        <v>Balance - January 1, 2019</v>
      </c>
      <c r="C8" s="1158"/>
      <c r="D8" s="1158"/>
      <c r="E8" s="1158"/>
      <c r="F8" s="1158"/>
      <c r="G8" s="1158"/>
      <c r="H8" s="1400"/>
      <c r="I8" s="1088" t="s">
        <v>787</v>
      </c>
      <c r="J8" s="639"/>
    </row>
    <row r="9" spans="2:19" ht="21" customHeight="1">
      <c r="B9" s="1139" t="str">
        <f>"Received from "&amp;'KEY INPUTS'!D34&amp;" Budget Appropriation"</f>
        <v>Received from 2019 Budget Appropriation</v>
      </c>
      <c r="C9" s="1139"/>
      <c r="D9" s="1139"/>
      <c r="E9" s="1139"/>
      <c r="F9" s="1139"/>
      <c r="G9" s="1139"/>
      <c r="H9" s="1401"/>
      <c r="I9" s="973" t="s">
        <v>787</v>
      </c>
      <c r="J9" s="609"/>
      <c r="M9" s="322"/>
      <c r="N9" s="322"/>
      <c r="O9" s="322"/>
      <c r="P9" s="322"/>
      <c r="Q9" s="322"/>
      <c r="R9" s="322"/>
      <c r="S9" s="322"/>
    </row>
    <row r="10" spans="2:19" ht="21" customHeight="1">
      <c r="B10" s="648"/>
      <c r="C10" s="648"/>
      <c r="D10" s="648"/>
      <c r="E10" s="648"/>
      <c r="F10" s="648"/>
      <c r="G10" s="648"/>
      <c r="H10" s="648"/>
      <c r="I10" s="973" t="s">
        <v>787</v>
      </c>
      <c r="J10" s="609"/>
      <c r="M10" s="322"/>
      <c r="N10" s="322"/>
      <c r="O10" s="322"/>
      <c r="P10" s="322"/>
      <c r="Q10" s="322"/>
      <c r="R10" s="322"/>
      <c r="S10" s="322"/>
    </row>
    <row r="11" spans="2:19" ht="11.25" customHeight="1">
      <c r="B11" s="1402" t="s">
        <v>224</v>
      </c>
      <c r="C11" s="1403"/>
      <c r="D11" s="1403"/>
      <c r="E11" s="1403"/>
      <c r="F11" s="1403"/>
      <c r="G11" s="1403"/>
      <c r="H11" s="1404"/>
      <c r="I11" s="1906" t="s">
        <v>787</v>
      </c>
      <c r="J11" s="1904"/>
      <c r="M11" s="377"/>
      <c r="N11" s="322"/>
      <c r="O11" s="322"/>
      <c r="P11" s="322"/>
      <c r="Q11" s="322"/>
      <c r="R11" s="322"/>
      <c r="S11" s="322"/>
    </row>
    <row r="12" spans="2:19" ht="12.75" customHeight="1">
      <c r="B12" s="1391"/>
      <c r="C12" s="1405" t="s">
        <v>225</v>
      </c>
      <c r="D12" s="1391"/>
      <c r="E12" s="1391"/>
      <c r="F12" s="1391"/>
      <c r="G12" s="1391"/>
      <c r="H12" s="1406"/>
      <c r="I12" s="1907"/>
      <c r="J12" s="1905"/>
      <c r="M12" s="322"/>
      <c r="N12" s="322"/>
      <c r="O12" s="322"/>
      <c r="P12" s="322"/>
      <c r="Q12" s="322"/>
      <c r="R12" s="322"/>
      <c r="S12" s="322"/>
    </row>
    <row r="13" spans="2:19" ht="21" customHeight="1">
      <c r="B13" s="668"/>
      <c r="C13" s="1282"/>
      <c r="D13" s="668"/>
      <c r="E13" s="668"/>
      <c r="F13" s="668"/>
      <c r="G13" s="668"/>
      <c r="H13" s="668"/>
      <c r="I13" s="683"/>
      <c r="J13" s="376"/>
      <c r="M13" s="322"/>
      <c r="N13" s="322"/>
      <c r="O13" s="322"/>
      <c r="P13" s="322"/>
      <c r="Q13" s="322"/>
      <c r="R13" s="322"/>
      <c r="S13" s="322"/>
    </row>
    <row r="14" spans="2:19" ht="21" customHeight="1">
      <c r="B14" s="1139" t="s">
        <v>226</v>
      </c>
      <c r="C14" s="1139"/>
      <c r="D14" s="1139"/>
      <c r="E14" s="1139"/>
      <c r="F14" s="1139"/>
      <c r="G14" s="1139"/>
      <c r="H14" s="1139"/>
      <c r="I14" s="973" t="s">
        <v>787</v>
      </c>
      <c r="J14" s="977" t="s">
        <v>787</v>
      </c>
      <c r="M14" s="322"/>
      <c r="N14" s="322"/>
      <c r="O14" s="322"/>
      <c r="P14" s="322"/>
      <c r="Q14" s="322"/>
      <c r="R14" s="322"/>
      <c r="S14" s="322"/>
    </row>
    <row r="15" spans="2:19" ht="21" customHeight="1">
      <c r="B15" s="648"/>
      <c r="C15" s="648"/>
      <c r="D15" s="648"/>
      <c r="E15" s="648"/>
      <c r="F15" s="648"/>
      <c r="G15" s="648"/>
      <c r="H15" s="648"/>
      <c r="I15" s="601"/>
      <c r="J15" s="977" t="s">
        <v>787</v>
      </c>
      <c r="M15" s="322"/>
      <c r="N15" s="322"/>
      <c r="O15" s="322"/>
      <c r="P15" s="322"/>
      <c r="Q15" s="322"/>
      <c r="R15" s="322"/>
      <c r="S15" s="322"/>
    </row>
    <row r="16" spans="2:19" ht="21" customHeight="1">
      <c r="B16" s="648"/>
      <c r="C16" s="648"/>
      <c r="D16" s="648"/>
      <c r="E16" s="648"/>
      <c r="F16" s="648"/>
      <c r="G16" s="648"/>
      <c r="H16" s="648"/>
      <c r="I16" s="601"/>
      <c r="J16" s="977" t="s">
        <v>787</v>
      </c>
      <c r="M16" s="322"/>
      <c r="N16" s="322"/>
      <c r="O16" s="322"/>
      <c r="P16" s="322"/>
      <c r="Q16" s="322"/>
      <c r="R16" s="322"/>
      <c r="S16" s="322"/>
    </row>
    <row r="17" spans="2:19" ht="21" customHeight="1">
      <c r="B17" s="648"/>
      <c r="C17" s="648"/>
      <c r="D17" s="648"/>
      <c r="E17" s="648"/>
      <c r="F17" s="648"/>
      <c r="G17" s="648"/>
      <c r="H17" s="648"/>
      <c r="I17" s="601"/>
      <c r="J17" s="977" t="s">
        <v>787</v>
      </c>
      <c r="M17" s="322"/>
      <c r="N17" s="322"/>
      <c r="O17" s="322"/>
      <c r="P17" s="322"/>
      <c r="Q17" s="322"/>
      <c r="R17" s="322"/>
      <c r="S17" s="322"/>
    </row>
    <row r="18" spans="2:19" ht="21" customHeight="1">
      <c r="B18" s="648"/>
      <c r="C18" s="648"/>
      <c r="D18" s="648"/>
      <c r="E18" s="648"/>
      <c r="F18" s="648"/>
      <c r="G18" s="648"/>
      <c r="H18" s="648"/>
      <c r="I18" s="601"/>
      <c r="J18" s="977" t="s">
        <v>787</v>
      </c>
      <c r="M18" s="322"/>
      <c r="N18" s="322"/>
      <c r="O18" s="322"/>
      <c r="P18" s="322"/>
      <c r="Q18" s="322"/>
      <c r="R18" s="322"/>
      <c r="S18" s="322"/>
    </row>
    <row r="19" spans="2:19" ht="21" customHeight="1">
      <c r="B19" s="648"/>
      <c r="C19" s="648"/>
      <c r="D19" s="648"/>
      <c r="E19" s="648"/>
      <c r="F19" s="648"/>
      <c r="G19" s="648"/>
      <c r="H19" s="648"/>
      <c r="I19" s="601"/>
      <c r="J19" s="977" t="s">
        <v>787</v>
      </c>
      <c r="M19" s="322"/>
      <c r="N19" s="322"/>
      <c r="O19" s="322"/>
      <c r="P19" s="322"/>
      <c r="Q19" s="322"/>
      <c r="R19" s="322"/>
      <c r="S19" s="322"/>
    </row>
    <row r="20" spans="2:19" ht="21" customHeight="1">
      <c r="B20" s="648"/>
      <c r="C20" s="648"/>
      <c r="D20" s="648"/>
      <c r="E20" s="648"/>
      <c r="F20" s="648"/>
      <c r="G20" s="648"/>
      <c r="H20" s="648"/>
      <c r="I20" s="601"/>
      <c r="J20" s="977" t="s">
        <v>787</v>
      </c>
      <c r="M20" s="322"/>
      <c r="N20" s="322"/>
      <c r="O20" s="322"/>
      <c r="P20" s="322"/>
      <c r="Q20" s="322"/>
      <c r="R20" s="322"/>
      <c r="S20" s="322"/>
    </row>
    <row r="21" spans="2:19" ht="21" customHeight="1">
      <c r="B21" s="648"/>
      <c r="C21" s="648"/>
      <c r="D21" s="648"/>
      <c r="E21" s="648"/>
      <c r="F21" s="648"/>
      <c r="G21" s="648"/>
      <c r="H21" s="648"/>
      <c r="I21" s="601"/>
      <c r="J21" s="977" t="s">
        <v>787</v>
      </c>
      <c r="M21" s="322"/>
      <c r="N21" s="322"/>
      <c r="O21" s="322"/>
      <c r="P21" s="322"/>
      <c r="Q21" s="322"/>
      <c r="R21" s="322"/>
      <c r="S21" s="322"/>
    </row>
    <row r="22" spans="2:19" ht="21" customHeight="1">
      <c r="B22" s="1139" t="s">
        <v>229</v>
      </c>
      <c r="C22" s="1139"/>
      <c r="D22" s="1139"/>
      <c r="E22" s="1139"/>
      <c r="F22" s="1139"/>
      <c r="G22" s="1139"/>
      <c r="H22" s="1401"/>
      <c r="I22" s="601"/>
      <c r="J22" s="977" t="s">
        <v>787</v>
      </c>
      <c r="M22" s="322"/>
      <c r="N22" s="322"/>
      <c r="O22" s="322"/>
      <c r="P22" s="322"/>
      <c r="Q22" s="322"/>
      <c r="R22" s="322"/>
      <c r="S22" s="322"/>
    </row>
    <row r="23" spans="2:19" ht="21" customHeight="1">
      <c r="B23" s="648"/>
      <c r="C23" s="648"/>
      <c r="D23" s="648"/>
      <c r="E23" s="648"/>
      <c r="F23" s="648"/>
      <c r="G23" s="648"/>
      <c r="H23" s="648"/>
      <c r="I23" s="601"/>
      <c r="J23" s="977" t="s">
        <v>787</v>
      </c>
      <c r="M23" s="322"/>
      <c r="N23" s="322"/>
      <c r="O23" s="322"/>
      <c r="P23" s="322"/>
      <c r="Q23" s="322"/>
      <c r="R23" s="322"/>
      <c r="S23" s="322"/>
    </row>
    <row r="24" spans="2:19" ht="21" customHeight="1" thickBot="1">
      <c r="B24" s="1139" t="str">
        <f>'KEY INPUTS'!D26</f>
        <v>Balance - December 31, 2019</v>
      </c>
      <c r="C24" s="1139"/>
      <c r="D24" s="1139"/>
      <c r="E24" s="1139"/>
      <c r="F24" s="1139"/>
      <c r="G24" s="1139"/>
      <c r="H24" s="1401"/>
      <c r="I24" s="1106">
        <f>+SUM(J8:J13)-SUM(I13:I23)</f>
        <v>0</v>
      </c>
      <c r="J24" s="1104" t="s">
        <v>787</v>
      </c>
      <c r="M24" s="322"/>
      <c r="N24" s="322"/>
      <c r="O24" s="322"/>
      <c r="P24" s="322"/>
      <c r="Q24" s="322"/>
      <c r="R24" s="322"/>
      <c r="S24" s="322"/>
    </row>
    <row r="25" spans="2:19" ht="21" customHeight="1" thickTop="1" thickBot="1">
      <c r="I25" s="1061">
        <f>SUM(I8:I24)</f>
        <v>0</v>
      </c>
      <c r="J25" s="1107">
        <f>SUM(J8:J24)</f>
        <v>0</v>
      </c>
      <c r="M25" s="322"/>
      <c r="N25" s="322"/>
      <c r="O25" s="322"/>
      <c r="P25" s="322"/>
      <c r="Q25" s="322"/>
      <c r="R25" s="322"/>
      <c r="S25" s="322"/>
    </row>
    <row r="26" spans="2:19" ht="13.8" thickTop="1"/>
    <row r="30" spans="2:19" ht="22.8">
      <c r="B30" s="1759" t="str">
        <f>UPPER('KEY INPUTS'!D$54)&amp;" UTILITY  CAPITAL  FUND"</f>
        <v xml:space="preserve"> UTILITY  CAPITAL  FUND</v>
      </c>
      <c r="C30" s="1759"/>
      <c r="D30" s="1759"/>
      <c r="E30" s="1759"/>
      <c r="F30" s="1759"/>
      <c r="G30" s="1759"/>
      <c r="H30" s="1759"/>
      <c r="I30" s="1759"/>
      <c r="J30" s="1759"/>
    </row>
    <row r="31" spans="2:19" ht="7.5" customHeight="1">
      <c r="B31" s="1146"/>
      <c r="C31" s="1146"/>
      <c r="D31" s="1146"/>
      <c r="E31" s="1146"/>
      <c r="F31" s="1146"/>
      <c r="G31" s="1146"/>
      <c r="H31" s="1146"/>
      <c r="I31" s="1146"/>
      <c r="J31" s="1146"/>
    </row>
    <row r="32" spans="2:19" ht="15.6">
      <c r="B32" s="1783" t="s">
        <v>234</v>
      </c>
      <c r="C32" s="1783"/>
      <c r="D32" s="1783"/>
      <c r="E32" s="1783"/>
      <c r="F32" s="1783"/>
      <c r="G32" s="1783"/>
      <c r="H32" s="1783"/>
      <c r="I32" s="1783"/>
      <c r="J32" s="1783"/>
    </row>
    <row r="33" spans="2:10" ht="13.8" thickBot="1">
      <c r="B33" s="1146"/>
      <c r="C33" s="1146"/>
      <c r="D33" s="1146"/>
      <c r="E33" s="1146"/>
      <c r="F33" s="1146"/>
      <c r="G33" s="1146"/>
      <c r="H33" s="1146"/>
      <c r="I33" s="1146"/>
      <c r="J33" s="1146"/>
    </row>
    <row r="34" spans="2:10" ht="26.25" customHeight="1" thickTop="1" thickBot="1">
      <c r="B34" s="1388"/>
      <c r="C34" s="1388"/>
      <c r="D34" s="1388"/>
      <c r="E34" s="1388"/>
      <c r="F34" s="1388"/>
      <c r="G34" s="1388"/>
      <c r="H34" s="1388"/>
      <c r="I34" s="1134" t="s">
        <v>125</v>
      </c>
      <c r="J34" s="1135" t="s">
        <v>126</v>
      </c>
    </row>
    <row r="35" spans="2:10" ht="21" customHeight="1" thickTop="1">
      <c r="B35" s="1158" t="str">
        <f>'KEY INPUTS'!D25</f>
        <v>Balance - January 1, 2019</v>
      </c>
      <c r="C35" s="1158"/>
      <c r="D35" s="1158"/>
      <c r="E35" s="1158"/>
      <c r="F35" s="1158"/>
      <c r="G35" s="1158"/>
      <c r="H35" s="1400"/>
      <c r="I35" s="1088" t="s">
        <v>787</v>
      </c>
      <c r="J35" s="639"/>
    </row>
    <row r="36" spans="2:10" ht="21" customHeight="1">
      <c r="B36" s="1139" t="str">
        <f>"Received from "&amp;TEXT('KEY INPUTS'!D34,"0")&amp;" Budget Appropriation *"</f>
        <v>Received from 2019 Budget Appropriation *</v>
      </c>
      <c r="C36" s="1139"/>
      <c r="D36" s="1139"/>
      <c r="E36" s="1139"/>
      <c r="F36" s="1139"/>
      <c r="G36" s="1139"/>
      <c r="H36" s="1401"/>
      <c r="I36" s="973" t="s">
        <v>787</v>
      </c>
      <c r="J36" s="609"/>
    </row>
    <row r="37" spans="2:10" ht="21" customHeight="1">
      <c r="B37" s="1139" t="str">
        <f>"Received from "&amp;TEXT('KEY INPUTS'!D34,"0")&amp;" Emergency Appropriation *"</f>
        <v>Received from 2019 Emergency Appropriation *</v>
      </c>
      <c r="C37" s="1139"/>
      <c r="D37" s="1139"/>
      <c r="E37" s="1139"/>
      <c r="F37" s="1139"/>
      <c r="G37" s="1139"/>
      <c r="H37" s="1401"/>
      <c r="I37" s="973" t="s">
        <v>787</v>
      </c>
      <c r="J37" s="609"/>
    </row>
    <row r="38" spans="2:10" ht="21" customHeight="1">
      <c r="B38" s="668"/>
      <c r="C38" s="1282"/>
      <c r="D38" s="668"/>
      <c r="E38" s="1391"/>
      <c r="F38" s="1391"/>
      <c r="G38" s="1391"/>
      <c r="H38" s="1391"/>
      <c r="I38" s="683"/>
      <c r="J38" s="376"/>
    </row>
    <row r="39" spans="2:10" ht="21" customHeight="1">
      <c r="B39" s="1139" t="s">
        <v>229</v>
      </c>
      <c r="C39" s="1139"/>
      <c r="D39" s="1139"/>
      <c r="E39" s="1139"/>
      <c r="F39" s="1139"/>
      <c r="G39" s="1139"/>
      <c r="H39" s="1401"/>
      <c r="I39" s="601"/>
      <c r="J39" s="977" t="s">
        <v>787</v>
      </c>
    </row>
    <row r="40" spans="2:10" ht="21" customHeight="1">
      <c r="B40" s="648"/>
      <c r="C40" s="648"/>
      <c r="D40" s="648"/>
      <c r="E40" s="1139"/>
      <c r="F40" s="1139"/>
      <c r="G40" s="1139"/>
      <c r="H40" s="1139"/>
      <c r="I40" s="601"/>
      <c r="J40" s="977" t="s">
        <v>787</v>
      </c>
    </row>
    <row r="41" spans="2:10" ht="21" customHeight="1" thickBot="1">
      <c r="B41" s="1139" t="str">
        <f>'KEY INPUTS'!D26</f>
        <v>Balance - December 31, 2019</v>
      </c>
      <c r="C41" s="1139"/>
      <c r="D41" s="1139"/>
      <c r="E41" s="1139"/>
      <c r="F41" s="1139"/>
      <c r="G41" s="1139"/>
      <c r="H41" s="1401"/>
      <c r="I41" s="1283">
        <f>SUM(J35:J38)-SUM(I38:I40)</f>
        <v>0</v>
      </c>
      <c r="J41" s="1104" t="s">
        <v>787</v>
      </c>
    </row>
    <row r="42" spans="2:10" ht="21" customHeight="1" thickTop="1" thickBot="1">
      <c r="B42" s="1146"/>
      <c r="C42" s="1146"/>
      <c r="D42" s="1146"/>
      <c r="E42" s="1146"/>
      <c r="F42" s="1146"/>
      <c r="G42" s="1146"/>
      <c r="H42" s="1146"/>
      <c r="I42" s="1061">
        <f>SUM(I35:I41)</f>
        <v>0</v>
      </c>
      <c r="J42" s="1421">
        <f>SUM(J35:J41)</f>
        <v>0</v>
      </c>
    </row>
    <row r="43" spans="2:10" ht="21" customHeight="1" thickTop="1">
      <c r="I43" s="191"/>
      <c r="J43" s="191"/>
    </row>
    <row r="44" spans="2:10" ht="21" customHeight="1"/>
    <row r="45" spans="2:10" ht="13.5" customHeight="1">
      <c r="B45" s="554" t="str">
        <f>"*The full amount of the "&amp;TEXT('KEY INPUTS'!D34,"0")&amp;"  budget appropriation should be transferred to this account unless the balance of the"</f>
        <v>*The full amount of the 2019  budget appropriation should be transferred to this account unless the balance of the</v>
      </c>
      <c r="C45" s="554"/>
    </row>
    <row r="46" spans="2:10" ht="13.5" customHeight="1">
      <c r="B46" s="554"/>
      <c r="C46" s="554" t="s">
        <v>233</v>
      </c>
    </row>
    <row r="47" spans="2:10" ht="13.5" customHeight="1">
      <c r="B47" s="554"/>
      <c r="C47" s="554"/>
    </row>
    <row r="48" spans="2:10" ht="13.5" customHeight="1">
      <c r="B48" s="554"/>
      <c r="C48" s="554"/>
    </row>
    <row r="49" spans="2:10" ht="13.5" customHeight="1">
      <c r="B49" s="554"/>
      <c r="C49" s="554"/>
    </row>
    <row r="50" spans="2:10" ht="13.5" customHeight="1">
      <c r="B50" s="554"/>
      <c r="C50" s="554"/>
    </row>
    <row r="51" spans="2:10" ht="13.5" customHeight="1">
      <c r="B51" s="554"/>
      <c r="C51" s="554"/>
    </row>
    <row r="52" spans="2:10" ht="13.5" customHeight="1">
      <c r="B52" s="554"/>
      <c r="C52" s="554"/>
    </row>
    <row r="53" spans="2:10" ht="13.5" customHeight="1">
      <c r="B53" s="554"/>
      <c r="C53" s="554"/>
    </row>
    <row r="54" spans="2:10" ht="13.8">
      <c r="B54" s="1812" t="s">
        <v>3451</v>
      </c>
      <c r="C54" s="1812"/>
      <c r="D54" s="1812"/>
      <c r="E54" s="1812"/>
      <c r="F54" s="1812"/>
      <c r="G54" s="1812"/>
      <c r="H54" s="1812"/>
      <c r="I54" s="1812"/>
      <c r="J54" s="1812"/>
    </row>
  </sheetData>
  <sheetProtection algorithmName="SHA-512" hashValue="8OV5kxkFmUIQttFhPiClqzVQxwLgxwsNnE3Y8seuzm0LNCjpmlkxn8mTRtV5mk0Z4Rx/Lbn7Pl51vmRL8JHEpQ==" saltValue="cHo4W/3tHEVavtq5A3bcmA=="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7">
    <mergeCell ref="B3:J3"/>
    <mergeCell ref="B5:J5"/>
    <mergeCell ref="B30:J30"/>
    <mergeCell ref="B32:J32"/>
    <mergeCell ref="B54:J54"/>
    <mergeCell ref="J11:J12"/>
    <mergeCell ref="I11:I12"/>
  </mergeCells>
  <pageMargins left="0.25" right="0.25" top="0.5" bottom="0.5" header="0.25" footer="0.25"/>
  <pageSetup paperSize="5" orientation="portrait" r:id="rId5"/>
  <headerFooter alignWithMargins="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codeName="Sheet223">
    <tabColor theme="5" tint="0.59999389629810485"/>
  </sheetPr>
  <dimension ref="A1:AC52"/>
  <sheetViews>
    <sheetView zoomScaleNormal="100" zoomScaleSheetLayoutView="80" workbookViewId="0">
      <selection activeCell="B1" sqref="B1"/>
    </sheetView>
  </sheetViews>
  <sheetFormatPr defaultColWidth="8.88671875" defaultRowHeight="13.2"/>
  <cols>
    <col min="1" max="3" width="4.6640625" style="398" customWidth="1"/>
    <col min="4" max="4" width="4.5546875" style="398" customWidth="1"/>
    <col min="5" max="5" width="8.88671875" style="398"/>
    <col min="6" max="6" width="6.6640625" style="398" customWidth="1"/>
    <col min="7" max="10" width="16.6640625" style="398" customWidth="1"/>
    <col min="11" max="20" width="8.88671875" style="398"/>
    <col min="21" max="23" width="4.6640625" style="322" customWidth="1"/>
    <col min="24" max="24" width="8.88671875" style="322"/>
    <col min="25" max="25" width="6.6640625" style="322" customWidth="1"/>
    <col min="26" max="29" width="16.6640625" style="322" customWidth="1"/>
    <col min="30" max="16384" width="8.88671875" style="398"/>
  </cols>
  <sheetData>
    <row r="1" spans="2:19">
      <c r="B1" s="1114"/>
      <c r="C1" s="1114"/>
      <c r="D1" s="1222"/>
      <c r="E1" s="1222"/>
      <c r="F1" s="1114"/>
      <c r="G1" s="1114"/>
      <c r="H1" s="1114"/>
      <c r="I1" s="1114"/>
      <c r="J1" s="1114"/>
    </row>
    <row r="2" spans="2:19">
      <c r="B2" s="1114"/>
      <c r="C2" s="1114"/>
      <c r="D2" s="1222"/>
      <c r="E2" s="1222"/>
      <c r="F2" s="1114"/>
      <c r="G2" s="1114"/>
      <c r="H2" s="1114"/>
      <c r="I2" s="1114"/>
      <c r="J2" s="1114"/>
    </row>
    <row r="3" spans="2:19" ht="24.6">
      <c r="B3" s="1949" t="str">
        <f>UPPER('KEY INPUTS'!D$54)&amp;" UTILITY FUND"</f>
        <v xml:space="preserve"> UTILITY FUND</v>
      </c>
      <c r="C3" s="1949"/>
      <c r="D3" s="1949"/>
      <c r="E3" s="1949"/>
      <c r="F3" s="1949"/>
      <c r="G3" s="1949"/>
      <c r="H3" s="1949"/>
      <c r="I3" s="1949"/>
      <c r="J3" s="1949"/>
    </row>
    <row r="4" spans="2:19">
      <c r="B4" s="1114"/>
      <c r="C4" s="1114"/>
      <c r="D4" s="1114"/>
      <c r="E4" s="1114"/>
      <c r="F4" s="1114"/>
      <c r="G4" s="1114"/>
      <c r="H4" s="1114"/>
      <c r="I4" s="1114"/>
      <c r="J4" s="1114"/>
    </row>
    <row r="5" spans="2:19" ht="17.399999999999999">
      <c r="B5" s="1805" t="str">
        <f>"CAPITAL  IMPROVEMENTS  AUTHORIZED  IN "&amp;TEXT('KEY INPUTS'!D34,"0")&amp;""</f>
        <v>CAPITAL  IMPROVEMENTS  AUTHORIZED  IN 2019</v>
      </c>
      <c r="C5" s="1805"/>
      <c r="D5" s="1805"/>
      <c r="E5" s="1805"/>
      <c r="F5" s="1805"/>
      <c r="G5" s="1805"/>
      <c r="H5" s="1805"/>
      <c r="I5" s="1805"/>
      <c r="J5" s="1805"/>
    </row>
    <row r="6" spans="2:19" ht="17.399999999999999">
      <c r="B6" s="1805" t="s">
        <v>261</v>
      </c>
      <c r="C6" s="1805"/>
      <c r="D6" s="1805"/>
      <c r="E6" s="1805"/>
      <c r="F6" s="1805"/>
      <c r="G6" s="1805"/>
      <c r="H6" s="1805"/>
      <c r="I6" s="1805"/>
      <c r="J6" s="1805"/>
    </row>
    <row r="7" spans="2:19" ht="13.8" thickBot="1">
      <c r="B7" s="1114"/>
      <c r="C7" s="1114"/>
      <c r="D7" s="1114"/>
      <c r="E7" s="1114"/>
      <c r="F7" s="1114"/>
      <c r="G7" s="1114"/>
      <c r="H7" s="1114"/>
      <c r="I7" s="1114"/>
      <c r="J7" s="1114"/>
    </row>
    <row r="8" spans="2:19" ht="13.8" thickTop="1">
      <c r="B8" s="1237"/>
      <c r="C8" s="1237"/>
      <c r="D8" s="1237"/>
      <c r="E8" s="1237"/>
      <c r="F8" s="1237"/>
      <c r="G8" s="1238"/>
      <c r="H8" s="1238"/>
      <c r="I8" s="1238"/>
      <c r="J8" s="1302" t="s">
        <v>307</v>
      </c>
    </row>
    <row r="9" spans="2:19">
      <c r="B9" s="1114"/>
      <c r="C9" s="1864" t="s">
        <v>532</v>
      </c>
      <c r="D9" s="1864"/>
      <c r="E9" s="1864"/>
      <c r="F9" s="1114"/>
      <c r="G9" s="1241" t="s">
        <v>533</v>
      </c>
      <c r="H9" s="1241" t="s">
        <v>260</v>
      </c>
      <c r="I9" s="1241" t="s">
        <v>265</v>
      </c>
      <c r="J9" s="1299" t="s">
        <v>308</v>
      </c>
    </row>
    <row r="10" spans="2:19">
      <c r="B10" s="1114"/>
      <c r="C10" s="1114"/>
      <c r="D10" s="1114"/>
      <c r="E10" s="1114"/>
      <c r="F10" s="1114"/>
      <c r="G10" s="1241" t="s">
        <v>263</v>
      </c>
      <c r="H10" s="1241" t="s">
        <v>264</v>
      </c>
      <c r="I10" s="1241" t="s">
        <v>266</v>
      </c>
      <c r="J10" s="1407" t="str">
        <f>"of " &amp;TEXT('KEY INPUTS'!D34,"0")&amp;" or Prior"</f>
        <v>of 2019 or Prior</v>
      </c>
    </row>
    <row r="11" spans="2:19" ht="13.8" thickBot="1">
      <c r="B11" s="1169"/>
      <c r="C11" s="1169"/>
      <c r="D11" s="1169"/>
      <c r="E11" s="1169"/>
      <c r="F11" s="1169"/>
      <c r="G11" s="1248"/>
      <c r="H11" s="1248" t="s">
        <v>560</v>
      </c>
      <c r="I11" s="1248" t="s">
        <v>306</v>
      </c>
      <c r="J11" s="1408" t="s">
        <v>309</v>
      </c>
      <c r="M11" s="322"/>
      <c r="N11" s="322"/>
      <c r="O11" s="322"/>
      <c r="P11" s="322"/>
      <c r="Q11" s="322"/>
      <c r="R11" s="322"/>
      <c r="S11" s="322"/>
    </row>
    <row r="12" spans="2:19" ht="21" customHeight="1" thickTop="1">
      <c r="B12" s="673"/>
      <c r="C12" s="673"/>
      <c r="D12" s="673"/>
      <c r="E12" s="673"/>
      <c r="F12" s="673"/>
      <c r="G12" s="605"/>
      <c r="H12" s="605"/>
      <c r="I12" s="605"/>
      <c r="J12" s="639"/>
      <c r="M12" s="322"/>
      <c r="N12" s="322"/>
      <c r="O12" s="322"/>
      <c r="P12" s="322"/>
      <c r="Q12" s="322"/>
      <c r="R12" s="322"/>
      <c r="S12" s="322"/>
    </row>
    <row r="13" spans="2:19" ht="21" customHeight="1">
      <c r="B13" s="648"/>
      <c r="C13" s="648"/>
      <c r="D13" s="648"/>
      <c r="E13" s="648"/>
      <c r="F13" s="648"/>
      <c r="G13" s="601"/>
      <c r="H13" s="601"/>
      <c r="I13" s="601"/>
      <c r="J13" s="609"/>
      <c r="M13" s="377"/>
      <c r="N13" s="322"/>
      <c r="O13" s="322"/>
      <c r="P13" s="322"/>
      <c r="Q13" s="322"/>
      <c r="R13" s="322"/>
      <c r="S13" s="322"/>
    </row>
    <row r="14" spans="2:19" ht="21" customHeight="1">
      <c r="B14" s="648"/>
      <c r="C14" s="648"/>
      <c r="D14" s="648"/>
      <c r="E14" s="648"/>
      <c r="F14" s="648"/>
      <c r="G14" s="601"/>
      <c r="H14" s="601"/>
      <c r="I14" s="601"/>
      <c r="J14" s="609"/>
      <c r="M14" s="322"/>
      <c r="N14" s="322"/>
      <c r="O14" s="322"/>
      <c r="P14" s="322"/>
      <c r="Q14" s="322"/>
      <c r="R14" s="322"/>
      <c r="S14" s="322"/>
    </row>
    <row r="15" spans="2:19" ht="21" customHeight="1">
      <c r="B15" s="648"/>
      <c r="C15" s="648"/>
      <c r="D15" s="648"/>
      <c r="E15" s="648"/>
      <c r="F15" s="648"/>
      <c r="G15" s="601"/>
      <c r="H15" s="601"/>
      <c r="I15" s="601"/>
      <c r="J15" s="609"/>
      <c r="M15" s="322"/>
      <c r="N15" s="322"/>
      <c r="O15" s="322"/>
      <c r="P15" s="322"/>
      <c r="Q15" s="322"/>
      <c r="R15" s="322"/>
      <c r="S15" s="322"/>
    </row>
    <row r="16" spans="2:19" ht="21" customHeight="1">
      <c r="B16" s="648"/>
      <c r="C16" s="648"/>
      <c r="D16" s="648"/>
      <c r="E16" s="648"/>
      <c r="F16" s="648"/>
      <c r="G16" s="601"/>
      <c r="H16" s="601"/>
      <c r="I16" s="601"/>
      <c r="J16" s="609"/>
      <c r="M16" s="322"/>
      <c r="N16" s="322"/>
      <c r="O16" s="322"/>
      <c r="P16" s="322"/>
      <c r="Q16" s="322"/>
      <c r="R16" s="322"/>
      <c r="S16" s="322"/>
    </row>
    <row r="17" spans="2:19" ht="21" customHeight="1">
      <c r="B17" s="648"/>
      <c r="C17" s="648"/>
      <c r="D17" s="648"/>
      <c r="E17" s="648"/>
      <c r="F17" s="648"/>
      <c r="G17" s="601"/>
      <c r="H17" s="601"/>
      <c r="I17" s="601"/>
      <c r="J17" s="609"/>
      <c r="M17" s="322"/>
      <c r="N17" s="322"/>
      <c r="O17" s="322"/>
      <c r="P17" s="322"/>
      <c r="Q17" s="322"/>
      <c r="R17" s="322"/>
      <c r="S17" s="322"/>
    </row>
    <row r="18" spans="2:19" ht="21" customHeight="1">
      <c r="B18" s="648"/>
      <c r="C18" s="648"/>
      <c r="D18" s="648"/>
      <c r="E18" s="648"/>
      <c r="F18" s="648"/>
      <c r="G18" s="601"/>
      <c r="H18" s="601"/>
      <c r="I18" s="601"/>
      <c r="J18" s="609"/>
      <c r="M18" s="322"/>
      <c r="N18" s="322"/>
      <c r="O18" s="322"/>
      <c r="P18" s="322"/>
      <c r="Q18" s="322"/>
      <c r="R18" s="322"/>
      <c r="S18" s="322"/>
    </row>
    <row r="19" spans="2:19" ht="21" customHeight="1">
      <c r="B19" s="648"/>
      <c r="C19" s="648"/>
      <c r="D19" s="648"/>
      <c r="E19" s="648"/>
      <c r="F19" s="648"/>
      <c r="G19" s="601"/>
      <c r="H19" s="601"/>
      <c r="I19" s="601"/>
      <c r="J19" s="609"/>
      <c r="M19" s="322"/>
      <c r="N19" s="322"/>
      <c r="O19" s="322"/>
      <c r="P19" s="322"/>
      <c r="Q19" s="322"/>
      <c r="R19" s="322"/>
      <c r="S19" s="322"/>
    </row>
    <row r="20" spans="2:19" ht="21" customHeight="1">
      <c r="B20" s="648"/>
      <c r="C20" s="648"/>
      <c r="D20" s="648"/>
      <c r="E20" s="648"/>
      <c r="F20" s="648"/>
      <c r="G20" s="601"/>
      <c r="H20" s="601"/>
      <c r="I20" s="601"/>
      <c r="J20" s="609"/>
      <c r="M20" s="322"/>
      <c r="N20" s="322"/>
      <c r="O20" s="322"/>
      <c r="P20" s="322"/>
      <c r="Q20" s="322"/>
      <c r="R20" s="322"/>
      <c r="S20" s="322"/>
    </row>
    <row r="21" spans="2:19" ht="21" customHeight="1" thickBot="1">
      <c r="B21" s="648"/>
      <c r="C21" s="648"/>
      <c r="D21" s="648"/>
      <c r="E21" s="648"/>
      <c r="F21" s="648"/>
      <c r="G21" s="627"/>
      <c r="H21" s="627"/>
      <c r="I21" s="627"/>
      <c r="J21" s="671"/>
      <c r="M21" s="322"/>
      <c r="N21" s="322"/>
      <c r="O21" s="322"/>
      <c r="P21" s="322"/>
      <c r="Q21" s="322"/>
      <c r="R21" s="322"/>
      <c r="S21" s="322"/>
    </row>
    <row r="22" spans="2:19" ht="21" customHeight="1" thickTop="1" thickBot="1">
      <c r="B22" s="1169"/>
      <c r="C22" s="1169"/>
      <c r="D22" s="1169"/>
      <c r="E22" s="1169"/>
      <c r="F22" s="1169"/>
      <c r="G22" s="1131">
        <f>SUM(G12:G21)</f>
        <v>0</v>
      </c>
      <c r="H22" s="1131">
        <f>SUM(H12:H21)</f>
        <v>0</v>
      </c>
      <c r="I22" s="1131">
        <f>SUM(I12:I21)</f>
        <v>0</v>
      </c>
      <c r="J22" s="1409">
        <f>SUM(J12:J21)</f>
        <v>0</v>
      </c>
      <c r="M22" s="322"/>
      <c r="N22" s="322"/>
      <c r="O22" s="322"/>
      <c r="P22" s="322"/>
      <c r="Q22" s="322"/>
      <c r="R22" s="322"/>
      <c r="S22" s="322"/>
    </row>
    <row r="23" spans="2:19" ht="13.8" thickTop="1">
      <c r="B23" s="1114"/>
      <c r="C23" s="1114"/>
      <c r="D23" s="1114"/>
      <c r="E23" s="1114"/>
      <c r="F23" s="1114"/>
      <c r="G23" s="1114"/>
      <c r="H23" s="1114"/>
      <c r="I23" s="1114"/>
      <c r="J23" s="1114"/>
      <c r="M23" s="322"/>
      <c r="N23" s="322"/>
      <c r="O23" s="322"/>
      <c r="P23" s="322"/>
      <c r="Q23" s="322"/>
      <c r="R23" s="322"/>
      <c r="S23" s="322"/>
    </row>
    <row r="24" spans="2:19">
      <c r="B24" s="1114"/>
      <c r="C24" s="1114"/>
      <c r="D24" s="1114"/>
      <c r="E24" s="1114"/>
      <c r="F24" s="1114"/>
      <c r="G24" s="1114"/>
      <c r="H24" s="1114"/>
      <c r="I24" s="1114"/>
      <c r="J24" s="1114"/>
      <c r="M24" s="322"/>
      <c r="N24" s="322"/>
      <c r="O24" s="322"/>
      <c r="P24" s="322"/>
      <c r="Q24" s="322"/>
      <c r="R24" s="322"/>
      <c r="S24" s="322"/>
    </row>
    <row r="25" spans="2:19">
      <c r="B25" s="1114"/>
      <c r="C25" s="1114"/>
      <c r="D25" s="1114"/>
      <c r="E25" s="1114"/>
      <c r="F25" s="1114"/>
      <c r="G25" s="1114"/>
      <c r="H25" s="1114"/>
      <c r="I25" s="1114"/>
      <c r="J25" s="1114"/>
      <c r="M25" s="322"/>
      <c r="N25" s="322"/>
      <c r="O25" s="322"/>
      <c r="P25" s="322"/>
      <c r="Q25" s="322"/>
      <c r="R25" s="322"/>
      <c r="S25" s="322"/>
    </row>
    <row r="26" spans="2:19">
      <c r="B26" s="1114"/>
      <c r="C26" s="1114"/>
      <c r="D26" s="1114"/>
      <c r="E26" s="1114"/>
      <c r="F26" s="1114"/>
      <c r="G26" s="1114"/>
      <c r="H26" s="1114"/>
      <c r="I26" s="1114"/>
      <c r="J26" s="1114"/>
      <c r="M26" s="322"/>
      <c r="N26" s="322"/>
      <c r="O26" s="322"/>
      <c r="P26" s="322"/>
      <c r="Q26" s="322"/>
      <c r="R26" s="322"/>
      <c r="S26" s="322"/>
    </row>
    <row r="27" spans="2:19">
      <c r="B27" s="1114"/>
      <c r="C27" s="1114"/>
      <c r="D27" s="1114"/>
      <c r="E27" s="1114"/>
      <c r="F27" s="1114"/>
      <c r="G27" s="1114"/>
      <c r="H27" s="1114"/>
      <c r="I27" s="1114"/>
      <c r="J27" s="1114"/>
      <c r="M27" s="322"/>
      <c r="N27" s="322"/>
      <c r="O27" s="322"/>
      <c r="P27" s="322"/>
      <c r="Q27" s="322"/>
      <c r="R27" s="322"/>
      <c r="S27" s="322"/>
    </row>
    <row r="28" spans="2:19" ht="22.8">
      <c r="B28" s="1759" t="str">
        <f>UPPER('KEY INPUTS'!D$54)&amp;" UTILITY  CAPITAL  FUND"</f>
        <v xml:space="preserve"> UTILITY  CAPITAL  FUND</v>
      </c>
      <c r="C28" s="1759"/>
      <c r="D28" s="1759"/>
      <c r="E28" s="1759"/>
      <c r="F28" s="1759"/>
      <c r="G28" s="1759"/>
      <c r="H28" s="1759"/>
      <c r="I28" s="1759"/>
      <c r="J28" s="1759"/>
    </row>
    <row r="29" spans="2:19" ht="22.8">
      <c r="B29" s="1759" t="s">
        <v>193</v>
      </c>
      <c r="C29" s="1759"/>
      <c r="D29" s="1759"/>
      <c r="E29" s="1759"/>
      <c r="F29" s="1759"/>
      <c r="G29" s="1759"/>
      <c r="H29" s="1759"/>
      <c r="I29" s="1759"/>
      <c r="J29" s="1759"/>
    </row>
    <row r="30" spans="2:19">
      <c r="B30" s="1114"/>
      <c r="C30" s="1114"/>
      <c r="D30" s="1114"/>
      <c r="E30" s="1114"/>
      <c r="F30" s="1114"/>
      <c r="G30" s="1114"/>
      <c r="H30" s="1114"/>
      <c r="I30" s="1114"/>
      <c r="J30" s="1114"/>
    </row>
    <row r="31" spans="2:19" ht="15.6">
      <c r="B31" s="1766" t="str">
        <f>"YEAR  "&amp;TEXT('KEY INPUTS'!D34,"0")&amp;""</f>
        <v>YEAR  2019</v>
      </c>
      <c r="C31" s="1766"/>
      <c r="D31" s="1766"/>
      <c r="E31" s="1766"/>
      <c r="F31" s="1766"/>
      <c r="G31" s="1766"/>
      <c r="H31" s="1766"/>
      <c r="I31" s="1766"/>
      <c r="J31" s="1766"/>
    </row>
    <row r="32" spans="2:19" ht="13.8" thickBot="1">
      <c r="B32" s="1114"/>
      <c r="C32" s="1114"/>
      <c r="D32" s="1114"/>
      <c r="E32" s="1114"/>
      <c r="F32" s="1114"/>
      <c r="G32" s="1114"/>
      <c r="H32" s="1114"/>
      <c r="I32" s="1114"/>
      <c r="J32" s="1114"/>
    </row>
    <row r="33" spans="1:10" ht="28.5" customHeight="1" thickTop="1" thickBot="1">
      <c r="B33" s="1333"/>
      <c r="C33" s="1333"/>
      <c r="D33" s="1333"/>
      <c r="E33" s="1333"/>
      <c r="F33" s="1333"/>
      <c r="G33" s="1333"/>
      <c r="H33" s="1333"/>
      <c r="I33" s="1115" t="s">
        <v>125</v>
      </c>
      <c r="J33" s="1116" t="s">
        <v>126</v>
      </c>
    </row>
    <row r="34" spans="1:10" ht="21" customHeight="1" thickTop="1">
      <c r="B34" s="1410" t="str">
        <f>'KEY INPUTS'!D25</f>
        <v>Balance - January 1, 2019</v>
      </c>
      <c r="C34" s="1170"/>
      <c r="D34" s="1170"/>
      <c r="E34" s="1170"/>
      <c r="F34" s="1170"/>
      <c r="G34" s="1170"/>
      <c r="H34" s="1170"/>
      <c r="I34" s="1171" t="s">
        <v>787</v>
      </c>
      <c r="J34" s="638"/>
    </row>
    <row r="35" spans="1:10" ht="21" customHeight="1">
      <c r="B35" s="690" t="s">
        <v>195</v>
      </c>
      <c r="C35" s="690"/>
      <c r="D35" s="690"/>
      <c r="E35" s="690"/>
      <c r="F35" s="690"/>
      <c r="G35" s="690"/>
      <c r="H35" s="690"/>
      <c r="I35" s="1174" t="s">
        <v>787</v>
      </c>
      <c r="J35" s="578"/>
    </row>
    <row r="36" spans="1:10" ht="21" customHeight="1">
      <c r="B36" s="690" t="s">
        <v>196</v>
      </c>
      <c r="C36" s="690"/>
      <c r="D36" s="690"/>
      <c r="E36" s="690"/>
      <c r="F36" s="690"/>
      <c r="G36" s="690"/>
      <c r="H36" s="690"/>
      <c r="I36" s="1174" t="s">
        <v>787</v>
      </c>
      <c r="J36" s="578"/>
    </row>
    <row r="37" spans="1:10" ht="21" customHeight="1">
      <c r="B37" s="648" t="s">
        <v>3493</v>
      </c>
      <c r="C37" s="648"/>
      <c r="D37" s="648"/>
      <c r="E37" s="648"/>
      <c r="F37" s="648"/>
      <c r="G37" s="648"/>
      <c r="H37" s="690"/>
      <c r="I37" s="374"/>
      <c r="J37" s="578"/>
    </row>
    <row r="38" spans="1:10" ht="21" customHeight="1">
      <c r="B38" s="648"/>
      <c r="C38" s="648"/>
      <c r="D38" s="648"/>
      <c r="E38" s="648"/>
      <c r="F38" s="648"/>
      <c r="G38" s="648"/>
      <c r="H38" s="690"/>
      <c r="I38" s="374"/>
      <c r="J38" s="578"/>
    </row>
    <row r="39" spans="1:10" ht="21" customHeight="1">
      <c r="B39" s="648"/>
      <c r="C39" s="648"/>
      <c r="D39" s="648"/>
      <c r="E39" s="648"/>
      <c r="F39" s="648"/>
      <c r="G39" s="648"/>
      <c r="H39" s="690"/>
      <c r="I39" s="374"/>
      <c r="J39" s="578"/>
    </row>
    <row r="40" spans="1:10" ht="21" customHeight="1">
      <c r="A40" s="1114"/>
      <c r="B40" s="690" t="s">
        <v>3453</v>
      </c>
      <c r="C40" s="690"/>
      <c r="D40" s="690"/>
      <c r="E40" s="690"/>
      <c r="F40" s="690"/>
      <c r="G40" s="690"/>
      <c r="H40" s="690"/>
      <c r="I40" s="374"/>
      <c r="J40" s="1300" t="s">
        <v>787</v>
      </c>
    </row>
    <row r="41" spans="1:10" ht="21" customHeight="1">
      <c r="A41" s="1114"/>
      <c r="B41" s="914" t="str">
        <f>"Appropriation to "&amp;'KEY INPUTS'!D34&amp;" Budget Reserve"</f>
        <v>Appropriation to 2019 Budget Reserve</v>
      </c>
      <c r="C41" s="690"/>
      <c r="D41" s="690"/>
      <c r="E41" s="690"/>
      <c r="F41" s="690"/>
      <c r="G41" s="1411"/>
      <c r="H41" s="690"/>
      <c r="I41" s="575"/>
      <c r="J41" s="1300" t="s">
        <v>787</v>
      </c>
    </row>
    <row r="42" spans="1:10" ht="21" customHeight="1">
      <c r="A42" s="1114"/>
      <c r="B42" s="690" t="str">
        <f>'KEY INPUTS'!D26</f>
        <v>Balance - December 31, 2019</v>
      </c>
      <c r="C42" s="690"/>
      <c r="D42" s="690"/>
      <c r="E42" s="690"/>
      <c r="F42" s="690"/>
      <c r="G42" s="690"/>
      <c r="H42" s="690"/>
      <c r="I42" s="842">
        <f>SUM(J34:J39)-SUM(I37:I41)</f>
        <v>0</v>
      </c>
      <c r="J42" s="1300" t="s">
        <v>787</v>
      </c>
    </row>
    <row r="43" spans="1:10" ht="21" customHeight="1" thickBot="1">
      <c r="B43" s="1114"/>
      <c r="C43" s="1114"/>
      <c r="D43" s="1114"/>
      <c r="E43" s="1114"/>
      <c r="F43" s="1114"/>
      <c r="G43" s="1114"/>
      <c r="H43" s="1114"/>
      <c r="I43" s="1109">
        <f>SUM(I34:I42)</f>
        <v>0</v>
      </c>
      <c r="J43" s="1412">
        <f>SUM(J34:J42)</f>
        <v>0</v>
      </c>
    </row>
    <row r="44" spans="1:10" ht="21" customHeight="1" thickTop="1"/>
    <row r="45" spans="1:10" ht="21" customHeight="1"/>
    <row r="46" spans="1:10" ht="21" customHeight="1"/>
    <row r="47" spans="1:10" ht="21" customHeight="1"/>
    <row r="48" spans="1:10" ht="21" customHeight="1"/>
    <row r="49" spans="2:10" ht="21" customHeight="1"/>
    <row r="52" spans="2:10" ht="13.8">
      <c r="B52" s="1765" t="s">
        <v>3452</v>
      </c>
      <c r="C52" s="1765"/>
      <c r="D52" s="1765"/>
      <c r="E52" s="1765"/>
      <c r="F52" s="1765"/>
      <c r="G52" s="1765"/>
      <c r="H52" s="1765"/>
      <c r="I52" s="1765"/>
      <c r="J52" s="176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8">
    <mergeCell ref="B31:J31"/>
    <mergeCell ref="B52:J52"/>
    <mergeCell ref="B3:J3"/>
    <mergeCell ref="B5:J5"/>
    <mergeCell ref="B6:J6"/>
    <mergeCell ref="C9:E9"/>
    <mergeCell ref="B28:J28"/>
    <mergeCell ref="B29:J29"/>
  </mergeCells>
  <pageMargins left="0.25" right="0.25" top="0.5" bottom="0.5" header="0.25" footer="0.25"/>
  <pageSetup paperSize="5" orientation="portrait" r:id="rId5"/>
  <headerFooter alignWithMargins="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4">
    <tabColor theme="2" tint="-0.249977111117893"/>
  </sheetPr>
  <dimension ref="B1:R57"/>
  <sheetViews>
    <sheetView topLeftCell="A19" zoomScaleNormal="100" zoomScaleSheetLayoutView="80" workbookViewId="0">
      <selection activeCell="H26" sqref="H26"/>
    </sheetView>
  </sheetViews>
  <sheetFormatPr defaultColWidth="8.88671875" defaultRowHeight="13.2"/>
  <cols>
    <col min="1" max="1" width="4.6640625" style="398" customWidth="1"/>
    <col min="2" max="2" width="4.88671875" style="398" customWidth="1"/>
    <col min="3" max="4" width="4.6640625" style="398" customWidth="1"/>
    <col min="5" max="5" width="30.6640625" style="398" customWidth="1"/>
    <col min="6" max="6" width="15.6640625" style="398" customWidth="1"/>
    <col min="7" max="8" width="16.6640625" style="398" customWidth="1"/>
    <col min="9" max="9" width="3.6640625" style="398" bestFit="1" customWidth="1"/>
    <col min="10" max="10" width="13.5546875" style="398" bestFit="1" customWidth="1"/>
    <col min="11" max="16384" width="8.88671875" style="398"/>
  </cols>
  <sheetData>
    <row r="1" spans="2:18">
      <c r="B1" s="1114"/>
      <c r="C1" s="1114"/>
      <c r="D1" s="1114"/>
      <c r="E1" s="1114"/>
      <c r="F1" s="1114"/>
      <c r="G1" s="1114"/>
      <c r="H1" s="1114"/>
    </row>
    <row r="2" spans="2:18">
      <c r="B2" s="1758" t="s">
        <v>37</v>
      </c>
      <c r="C2" s="1758"/>
      <c r="D2" s="1758"/>
      <c r="E2" s="1758"/>
      <c r="F2" s="1758"/>
      <c r="G2" s="1758"/>
      <c r="H2" s="1758"/>
    </row>
    <row r="3" spans="2:18">
      <c r="B3" s="1758" t="s">
        <v>572</v>
      </c>
      <c r="C3" s="1758"/>
      <c r="D3" s="1758"/>
      <c r="E3" s="1758"/>
      <c r="F3" s="1758"/>
      <c r="G3" s="1758"/>
      <c r="H3" s="1758"/>
    </row>
    <row r="4" spans="2:18">
      <c r="B4" s="1114"/>
      <c r="C4" s="1114"/>
      <c r="D4" s="1114"/>
      <c r="E4" s="1114"/>
      <c r="F4" s="1114"/>
      <c r="G4" s="1114"/>
      <c r="H4" s="1114"/>
    </row>
    <row r="5" spans="2:18" ht="22.8">
      <c r="B5" s="1759" t="s">
        <v>543</v>
      </c>
      <c r="C5" s="1759"/>
      <c r="D5" s="1759"/>
      <c r="E5" s="1759"/>
      <c r="F5" s="1759"/>
      <c r="G5" s="1759"/>
      <c r="H5" s="1759"/>
    </row>
    <row r="6" spans="2:18" ht="22.8">
      <c r="B6" s="1759" t="str">
        <f>"TRIAL  BALANCE - "&amp;UPPER('KEY INPUTS'!D55)&amp;"  UTILITY  FUND"</f>
        <v>TRIAL  BALANCE -   UTILITY  FUND</v>
      </c>
      <c r="C6" s="1759"/>
      <c r="D6" s="1759"/>
      <c r="E6" s="1759"/>
      <c r="F6" s="1759"/>
      <c r="G6" s="1759"/>
      <c r="H6" s="1759"/>
    </row>
    <row r="7" spans="2:18" ht="15.6">
      <c r="B7" s="1760" t="str">
        <f>'KEY INPUTS'!D44</f>
        <v>AS  AT  DECEMBER  31, 2019</v>
      </c>
      <c r="C7" s="1761"/>
      <c r="D7" s="1761"/>
      <c r="E7" s="1761"/>
      <c r="F7" s="1761"/>
      <c r="G7" s="1761"/>
      <c r="H7" s="1761"/>
    </row>
    <row r="8" spans="2:18" ht="15.6">
      <c r="B8" s="1766" t="s">
        <v>573</v>
      </c>
      <c r="C8" s="1766"/>
      <c r="D8" s="1766"/>
      <c r="E8" s="1766"/>
      <c r="F8" s="1766"/>
      <c r="G8" s="1766"/>
      <c r="H8" s="1766"/>
    </row>
    <row r="9" spans="2:18">
      <c r="B9" s="1767" t="s">
        <v>79</v>
      </c>
      <c r="C9" s="1767"/>
      <c r="D9" s="1767"/>
      <c r="E9" s="1767"/>
      <c r="F9" s="1767"/>
      <c r="G9" s="1767"/>
      <c r="H9" s="1767"/>
    </row>
    <row r="10" spans="2:18" ht="15" customHeight="1" thickBot="1">
      <c r="B10" s="1768" t="s">
        <v>80</v>
      </c>
      <c r="C10" s="1768"/>
      <c r="D10" s="1768"/>
      <c r="E10" s="1768"/>
      <c r="F10" s="1768"/>
      <c r="G10" s="1768"/>
      <c r="H10" s="1768"/>
    </row>
    <row r="11" spans="2:18" ht="36" customHeight="1" thickTop="1" thickBot="1">
      <c r="B11" s="1762" t="s">
        <v>124</v>
      </c>
      <c r="C11" s="1762"/>
      <c r="D11" s="1762"/>
      <c r="E11" s="1762"/>
      <c r="F11" s="1763"/>
      <c r="G11" s="1115" t="s">
        <v>125</v>
      </c>
      <c r="H11" s="1116" t="s">
        <v>126</v>
      </c>
      <c r="L11" s="322"/>
      <c r="M11" s="322"/>
      <c r="N11" s="322"/>
      <c r="O11" s="322"/>
      <c r="P11" s="322"/>
      <c r="Q11" s="322"/>
      <c r="R11" s="322"/>
    </row>
    <row r="12" spans="2:18" ht="21" customHeight="1" thickTop="1">
      <c r="B12" s="1114"/>
      <c r="C12" s="1114"/>
      <c r="D12" s="1114"/>
      <c r="E12" s="1114"/>
      <c r="F12" s="1114"/>
      <c r="G12" s="1117"/>
      <c r="H12" s="1118"/>
      <c r="L12" s="322"/>
      <c r="M12" s="322"/>
      <c r="N12" s="322"/>
      <c r="O12" s="322"/>
      <c r="P12" s="322"/>
      <c r="Q12" s="322"/>
      <c r="R12" s="322"/>
    </row>
    <row r="13" spans="2:18" ht="21" customHeight="1">
      <c r="B13" s="690" t="s">
        <v>253</v>
      </c>
      <c r="C13" s="690"/>
      <c r="D13" s="690"/>
      <c r="E13" s="690"/>
      <c r="F13" s="690"/>
      <c r="G13" s="601"/>
      <c r="H13" s="609"/>
      <c r="J13" s="739"/>
      <c r="L13" s="377"/>
      <c r="M13" s="322"/>
      <c r="N13" s="322"/>
      <c r="O13" s="322"/>
      <c r="P13" s="322"/>
      <c r="Q13" s="322"/>
      <c r="R13" s="322"/>
    </row>
    <row r="14" spans="2:18" ht="21" customHeight="1">
      <c r="B14" s="648" t="s">
        <v>419</v>
      </c>
      <c r="C14" s="648"/>
      <c r="D14" s="648"/>
      <c r="E14" s="648"/>
      <c r="F14" s="652"/>
      <c r="G14" s="601"/>
      <c r="H14" s="609"/>
      <c r="J14" s="739"/>
      <c r="L14" s="322"/>
      <c r="M14" s="322"/>
      <c r="N14" s="322"/>
      <c r="O14" s="322"/>
      <c r="P14" s="322"/>
      <c r="Q14" s="322"/>
      <c r="R14" s="322"/>
    </row>
    <row r="15" spans="2:18" ht="21" customHeight="1">
      <c r="B15" s="649"/>
      <c r="C15" s="649"/>
      <c r="D15" s="649"/>
      <c r="E15" s="649"/>
      <c r="F15" s="649"/>
      <c r="G15" s="601"/>
      <c r="H15" s="609"/>
      <c r="L15" s="322"/>
      <c r="M15" s="322"/>
      <c r="N15" s="322"/>
      <c r="O15" s="322"/>
      <c r="P15" s="322"/>
      <c r="Q15" s="322"/>
      <c r="R15" s="322"/>
    </row>
    <row r="16" spans="2:18" ht="21" customHeight="1">
      <c r="B16" s="648" t="s">
        <v>3494</v>
      </c>
      <c r="C16" s="648"/>
      <c r="D16" s="648"/>
      <c r="E16" s="648"/>
      <c r="F16" s="648"/>
      <c r="G16" s="1111"/>
      <c r="H16" s="1111"/>
      <c r="L16" s="322"/>
      <c r="M16" s="322"/>
      <c r="N16" s="322"/>
      <c r="O16" s="322"/>
      <c r="P16" s="322"/>
      <c r="Q16" s="322"/>
      <c r="R16" s="322"/>
    </row>
    <row r="17" spans="2:18" ht="21" customHeight="1">
      <c r="B17" s="648" t="s">
        <v>3494</v>
      </c>
      <c r="C17" s="648"/>
      <c r="D17" s="648"/>
      <c r="E17" s="648"/>
      <c r="F17" s="648"/>
      <c r="G17" s="1111"/>
      <c r="H17" s="1111"/>
      <c r="L17" s="322"/>
      <c r="M17" s="322"/>
      <c r="N17" s="322"/>
      <c r="O17" s="322"/>
      <c r="P17" s="322"/>
      <c r="Q17" s="322"/>
      <c r="R17" s="322"/>
    </row>
    <row r="18" spans="2:18" ht="21" customHeight="1">
      <c r="B18" s="648"/>
      <c r="C18" s="648"/>
      <c r="D18" s="648"/>
      <c r="E18" s="648"/>
      <c r="F18" s="648"/>
      <c r="G18" s="1111"/>
      <c r="H18" s="1111"/>
      <c r="L18" s="322"/>
      <c r="M18" s="322"/>
      <c r="N18" s="322"/>
      <c r="O18" s="322"/>
      <c r="P18" s="322"/>
      <c r="Q18" s="322"/>
      <c r="R18" s="322"/>
    </row>
    <row r="19" spans="2:18" ht="21" customHeight="1">
      <c r="B19" s="1119" t="s">
        <v>3483</v>
      </c>
      <c r="C19" s="1114"/>
      <c r="D19" s="1114"/>
      <c r="E19" s="1114"/>
      <c r="F19" s="1114"/>
      <c r="G19" s="1120"/>
      <c r="H19" s="1121"/>
      <c r="L19" s="322"/>
      <c r="M19" s="322"/>
      <c r="N19" s="322"/>
      <c r="O19" s="322"/>
      <c r="P19" s="322"/>
      <c r="Q19" s="322"/>
      <c r="R19" s="322"/>
    </row>
    <row r="20" spans="2:18" ht="21" customHeight="1">
      <c r="B20" s="690" t="s">
        <v>3484</v>
      </c>
      <c r="C20" s="690"/>
      <c r="D20" s="690"/>
      <c r="E20" s="690"/>
      <c r="F20" s="690"/>
      <c r="G20" s="1122">
        <f>+'47-Utility4'!L24</f>
        <v>0</v>
      </c>
      <c r="H20" s="1123"/>
      <c r="L20" s="322"/>
      <c r="M20" s="322"/>
      <c r="N20" s="322"/>
      <c r="O20" s="322"/>
      <c r="P20" s="322"/>
      <c r="Q20" s="322"/>
      <c r="R20" s="322"/>
    </row>
    <row r="21" spans="2:18" ht="21" customHeight="1">
      <c r="B21" s="690" t="s">
        <v>3485</v>
      </c>
      <c r="C21" s="690"/>
      <c r="D21" s="690"/>
      <c r="E21" s="690"/>
      <c r="F21" s="690"/>
      <c r="G21" s="689">
        <f>+'47-Utility4'!L54</f>
        <v>0</v>
      </c>
      <c r="H21" s="1114"/>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J23" s="739"/>
      <c r="L23" s="322"/>
      <c r="M23" s="322"/>
      <c r="N23" s="322"/>
      <c r="O23" s="322"/>
      <c r="P23" s="322"/>
      <c r="Q23" s="322"/>
      <c r="R23" s="322"/>
    </row>
    <row r="24" spans="2:18" ht="21" customHeight="1">
      <c r="B24" s="648"/>
      <c r="C24" s="648"/>
      <c r="D24" s="648"/>
      <c r="E24" s="648"/>
      <c r="F24" s="648"/>
      <c r="G24" s="601"/>
      <c r="H24" s="609"/>
      <c r="J24" s="73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90" t="s">
        <v>3486</v>
      </c>
      <c r="C26" s="690"/>
      <c r="D26" s="690"/>
      <c r="E26" s="690"/>
      <c r="F26" s="690"/>
      <c r="G26" s="689"/>
      <c r="H26" s="1124"/>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1125" t="s">
        <v>3487</v>
      </c>
      <c r="C30" s="690"/>
      <c r="D30" s="690"/>
      <c r="E30" s="690"/>
      <c r="F30" s="690"/>
      <c r="G30" s="689"/>
      <c r="H30" s="1124"/>
    </row>
    <row r="31" spans="2:18" ht="21" customHeight="1">
      <c r="B31" s="690" t="s">
        <v>3410</v>
      </c>
      <c r="C31" s="690"/>
      <c r="D31" s="690"/>
      <c r="E31" s="690"/>
      <c r="F31" s="690"/>
      <c r="G31" s="601"/>
      <c r="H31" s="1124">
        <f>+'44-Utility4'!I37</f>
        <v>0</v>
      </c>
      <c r="J31" s="739"/>
    </row>
    <row r="32" spans="2:18" ht="21" customHeight="1">
      <c r="B32" s="690" t="s">
        <v>3409</v>
      </c>
      <c r="C32" s="690"/>
      <c r="D32" s="690"/>
      <c r="E32" s="690"/>
      <c r="F32" s="690"/>
      <c r="G32" s="601"/>
      <c r="H32" s="609"/>
    </row>
    <row r="33" spans="2:18" ht="21" customHeight="1">
      <c r="B33" s="690" t="s">
        <v>3408</v>
      </c>
      <c r="C33" s="690"/>
      <c r="D33" s="690"/>
      <c r="E33" s="690"/>
      <c r="F33" s="690"/>
      <c r="G33" s="601"/>
      <c r="H33" s="1126">
        <f>+'49-Utility4'!I29+'49a-Utility4'!I29+'50-Utility4'!M24+'49a.1-Utility4'!I29</f>
        <v>0</v>
      </c>
      <c r="J33" s="739"/>
    </row>
    <row r="34" spans="2:18" ht="21" customHeight="1">
      <c r="B34" s="648" t="s">
        <v>3495</v>
      </c>
      <c r="C34" s="648"/>
      <c r="D34" s="648"/>
      <c r="E34" s="648"/>
      <c r="F34" s="652"/>
      <c r="G34" s="601"/>
      <c r="H34" s="609"/>
    </row>
    <row r="35" spans="2:18" ht="21" customHeight="1">
      <c r="B35" s="648"/>
      <c r="C35" s="648"/>
      <c r="D35" s="648"/>
      <c r="E35" s="648"/>
      <c r="F35" s="648"/>
      <c r="G35" s="601"/>
      <c r="H35" s="609"/>
      <c r="L35" s="322"/>
      <c r="M35" s="322"/>
      <c r="N35" s="322"/>
      <c r="O35" s="322"/>
      <c r="P35" s="322"/>
      <c r="Q35" s="322"/>
      <c r="R35" s="322"/>
    </row>
    <row r="36" spans="2:18" ht="21" customHeight="1">
      <c r="B36" s="648"/>
      <c r="C36" s="648"/>
      <c r="D36" s="648"/>
      <c r="E36" s="648"/>
      <c r="F36" s="648"/>
      <c r="G36" s="601"/>
      <c r="H36" s="609"/>
      <c r="J36" s="739"/>
      <c r="L36" s="322"/>
      <c r="M36" s="322"/>
      <c r="N36" s="322"/>
      <c r="O36" s="322"/>
      <c r="P36" s="322"/>
      <c r="Q36" s="322"/>
      <c r="R36" s="322"/>
    </row>
    <row r="37" spans="2:18" ht="21" customHeight="1">
      <c r="B37" s="648"/>
      <c r="C37" s="648"/>
      <c r="D37" s="648"/>
      <c r="E37" s="648"/>
      <c r="F37" s="648"/>
      <c r="G37" s="601"/>
      <c r="H37" s="609"/>
      <c r="J37" s="739"/>
      <c r="L37" s="322"/>
      <c r="M37" s="322"/>
      <c r="N37" s="322"/>
      <c r="O37" s="322"/>
      <c r="P37" s="322"/>
      <c r="Q37" s="322"/>
      <c r="R37" s="322"/>
    </row>
    <row r="38" spans="2:18" ht="21" customHeight="1" thickBot="1">
      <c r="B38" s="648"/>
      <c r="C38" s="648"/>
      <c r="D38" s="648"/>
      <c r="E38" s="648"/>
      <c r="F38" s="648"/>
      <c r="G38" s="601"/>
      <c r="H38" s="633"/>
      <c r="L38" s="322"/>
      <c r="M38" s="322"/>
      <c r="N38" s="322"/>
      <c r="O38" s="322"/>
      <c r="P38" s="322"/>
      <c r="Q38" s="322"/>
      <c r="R38" s="322"/>
    </row>
    <row r="39" spans="2:18" ht="21" customHeight="1" thickTop="1">
      <c r="B39" s="690"/>
      <c r="C39" s="690" t="s">
        <v>3407</v>
      </c>
      <c r="D39" s="690"/>
      <c r="E39" s="690"/>
      <c r="F39" s="1284"/>
      <c r="G39" s="1285"/>
      <c r="H39" s="1127">
        <f>SUM(H30:H38)</f>
        <v>0</v>
      </c>
      <c r="I39" s="398" t="s">
        <v>997</v>
      </c>
    </row>
    <row r="40" spans="2:18" ht="21" customHeight="1">
      <c r="B40" s="1128" t="s">
        <v>3496</v>
      </c>
      <c r="C40" s="1128"/>
      <c r="D40" s="1128"/>
      <c r="E40" s="1128"/>
      <c r="F40" s="1128"/>
      <c r="G40" s="1123"/>
      <c r="H40" s="631"/>
    </row>
    <row r="41" spans="2:18" ht="21" customHeight="1">
      <c r="B41" s="690"/>
      <c r="C41" s="690"/>
      <c r="D41" s="690"/>
      <c r="E41" s="690"/>
      <c r="F41" s="690"/>
      <c r="G41" s="689"/>
      <c r="H41" s="1124"/>
    </row>
    <row r="42" spans="2:18" ht="21" customHeight="1">
      <c r="B42" s="690" t="s">
        <v>777</v>
      </c>
      <c r="C42" s="690"/>
      <c r="D42" s="690"/>
      <c r="E42" s="690"/>
      <c r="F42" s="690"/>
      <c r="G42" s="689"/>
      <c r="H42" s="1124">
        <f>+'46-Utility4'!K27</f>
        <v>0</v>
      </c>
    </row>
    <row r="43" spans="2:18" ht="21" customHeight="1" thickBot="1">
      <c r="B43" s="690"/>
      <c r="C43" s="690"/>
      <c r="D43" s="690"/>
      <c r="E43" s="690"/>
      <c r="F43" s="690"/>
      <c r="G43" s="1129"/>
      <c r="H43" s="1130"/>
    </row>
    <row r="44" spans="2:18" ht="21" customHeight="1" thickBot="1">
      <c r="B44" s="690" t="s">
        <v>3497</v>
      </c>
      <c r="C44" s="690"/>
      <c r="D44" s="690"/>
      <c r="E44" s="690"/>
      <c r="F44" s="690"/>
      <c r="G44" s="1131">
        <f>SUM(G12:G43)</f>
        <v>0</v>
      </c>
      <c r="H44" s="1132">
        <f>SUM(H39:H43)</f>
        <v>0</v>
      </c>
      <c r="J44" s="399">
        <f>G44-H44</f>
        <v>0</v>
      </c>
    </row>
    <row r="45" spans="2:18" ht="13.8" thickTop="1">
      <c r="B45" s="1864" t="s">
        <v>127</v>
      </c>
      <c r="C45" s="1864"/>
      <c r="D45" s="1864"/>
      <c r="E45" s="1864"/>
      <c r="F45" s="1864"/>
      <c r="G45" s="1864"/>
      <c r="H45" s="1864"/>
    </row>
    <row r="46" spans="2:18">
      <c r="B46" s="1299"/>
      <c r="C46" s="1299"/>
      <c r="D46" s="1299"/>
      <c r="E46" s="1299"/>
      <c r="F46" s="1299"/>
      <c r="G46" s="1299"/>
      <c r="H46" s="1299"/>
    </row>
    <row r="47" spans="2:18">
      <c r="B47" s="1299"/>
      <c r="C47" s="1299"/>
      <c r="D47" s="1299"/>
      <c r="E47" s="1299"/>
      <c r="F47" s="1299"/>
      <c r="G47" s="1299"/>
      <c r="H47" s="1299"/>
    </row>
    <row r="48" spans="2:18">
      <c r="B48" s="1299"/>
      <c r="C48" s="1299"/>
      <c r="D48" s="1299"/>
      <c r="E48" s="1299"/>
      <c r="F48" s="1299"/>
      <c r="G48" s="1299"/>
      <c r="H48" s="1299"/>
    </row>
    <row r="49" spans="2:8">
      <c r="B49" s="1299"/>
      <c r="C49" s="1299"/>
      <c r="D49" s="1299"/>
      <c r="E49" s="1299"/>
      <c r="F49" s="1299"/>
      <c r="G49" s="1299"/>
      <c r="H49" s="1299"/>
    </row>
    <row r="50" spans="2:8" ht="13.8">
      <c r="B50" s="1950" t="s">
        <v>3405</v>
      </c>
      <c r="C50" s="1950"/>
      <c r="D50" s="1950"/>
      <c r="E50" s="1950"/>
      <c r="F50" s="1950"/>
      <c r="G50" s="1950"/>
      <c r="H50" s="1950"/>
    </row>
    <row r="54" spans="2:8">
      <c r="H54" s="399"/>
    </row>
    <row r="57" spans="2:8">
      <c r="H57" s="399">
        <f>+H44-G44</f>
        <v>0</v>
      </c>
    </row>
  </sheetData>
  <sheetProtection algorithmName="SHA-512" hashValue="wGJcmEHhOmULY6TthzNnzwQOr0A0/kvWZ1XFHpzsngUUitpMGpIwTDgVXyt49kgjDC1IWCNr/hXuF88bzoRFrQ==" saltValue="RA0NYU/bbvfJSdnFjFHgrg==" spinCount="100000" sheet="1" objects="1" scenarios="1"/>
  <customSheetViews>
    <customSheetView guid="{AC653BD0-46E3-42CB-9C76-32121A57B65A}" topLeftCell="A19">
      <selection activeCell="H26" sqref="H26"/>
      <pageMargins left="0.25" right="0.25" top="0.5" bottom="0.5" header="0.25" footer="0.25"/>
      <pageSetup paperSize="5" orientation="portrait" r:id="rId1"/>
      <headerFooter alignWithMargins="0"/>
    </customSheetView>
    <customSheetView guid="{B165479B-DC25-403C-9595-F1A88A4AA9A2}" topLeftCell="A19">
      <selection activeCell="H26" sqref="H26"/>
      <pageMargins left="0.25" right="0.25" top="0.5" bottom="0.5" header="0.25" footer="0.25"/>
      <pageSetup paperSize="5" orientation="portrait" r:id="rId2"/>
      <headerFooter alignWithMargins="0"/>
    </customSheetView>
    <customSheetView guid="{A64E4C9E-A3DA-4AAA-8607-F524450B9436}" topLeftCell="A19">
      <selection activeCell="H26" sqref="H26"/>
      <pageMargins left="0.25" right="0.25" top="0.5" bottom="0.5" header="0.25" footer="0.25"/>
      <pageSetup paperSize="5" orientation="portrait" r:id="rId3"/>
      <headerFooter alignWithMargins="0"/>
    </customSheetView>
    <customSheetView guid="{AB4FBD91-4533-473A-9702-569FF6402073}" topLeftCell="A19">
      <selection activeCell="H26" sqref="H26"/>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5">
    <tabColor theme="2" tint="-0.249977111117893"/>
  </sheetPr>
  <dimension ref="B1:Q55"/>
  <sheetViews>
    <sheetView zoomScaleNormal="100" zoomScaleSheetLayoutView="80" workbookViewId="0">
      <selection activeCell="B1" sqref="B1"/>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1" spans="2:17">
      <c r="B1" s="1114"/>
      <c r="C1" s="1114"/>
      <c r="D1" s="1114"/>
      <c r="E1" s="1114"/>
      <c r="F1" s="1114"/>
      <c r="G1" s="1114"/>
      <c r="H1" s="1114"/>
    </row>
    <row r="2" spans="2:17">
      <c r="B2" s="1758" t="s">
        <v>37</v>
      </c>
      <c r="C2" s="1758"/>
      <c r="D2" s="1758"/>
      <c r="E2" s="1758"/>
      <c r="F2" s="1758"/>
      <c r="G2" s="1758"/>
      <c r="H2" s="1758"/>
    </row>
    <row r="3" spans="2:17">
      <c r="B3" s="1758" t="s">
        <v>572</v>
      </c>
      <c r="C3" s="1758"/>
      <c r="D3" s="1758"/>
      <c r="E3" s="1758"/>
      <c r="F3" s="1758"/>
      <c r="G3" s="1758"/>
      <c r="H3" s="1758"/>
    </row>
    <row r="4" spans="2:17">
      <c r="B4" s="1114"/>
      <c r="C4" s="1114"/>
      <c r="D4" s="1114"/>
      <c r="E4" s="1114"/>
      <c r="F4" s="1114"/>
      <c r="G4" s="1114"/>
      <c r="H4" s="1114"/>
    </row>
    <row r="5" spans="2:17" ht="22.8">
      <c r="B5" s="1759" t="s">
        <v>543</v>
      </c>
      <c r="C5" s="1759"/>
      <c r="D5" s="1759"/>
      <c r="E5" s="1759"/>
      <c r="F5" s="1759"/>
      <c r="G5" s="1759"/>
      <c r="H5" s="1759"/>
    </row>
    <row r="6" spans="2:17" ht="22.8">
      <c r="B6" s="1759" t="str">
        <f>"TRIAL  BALANCE - "&amp;UPPER('KEY INPUTS'!D55)&amp;"  UTILITY  FUND (cont'd)"</f>
        <v>TRIAL  BALANCE -   UTILITY  FUND (cont'd)</v>
      </c>
      <c r="C6" s="1759"/>
      <c r="D6" s="1759"/>
      <c r="E6" s="1759"/>
      <c r="F6" s="1759"/>
      <c r="G6" s="1759"/>
      <c r="H6" s="1759"/>
    </row>
    <row r="7" spans="2:17" ht="15.6">
      <c r="B7" s="1760" t="str">
        <f>'KEY INPUTS'!D44</f>
        <v>AS  AT  DECEMBER  31, 2019</v>
      </c>
      <c r="C7" s="1761"/>
      <c r="D7" s="1761"/>
      <c r="E7" s="1761"/>
      <c r="F7" s="1761"/>
      <c r="G7" s="1761"/>
      <c r="H7" s="1761"/>
    </row>
    <row r="8" spans="2:17" ht="15.6">
      <c r="B8" s="1766" t="s">
        <v>573</v>
      </c>
      <c r="C8" s="1766"/>
      <c r="D8" s="1766"/>
      <c r="E8" s="1766"/>
      <c r="F8" s="1766"/>
      <c r="G8" s="1766"/>
      <c r="H8" s="1766"/>
    </row>
    <row r="9" spans="2:17">
      <c r="B9" s="1767" t="s">
        <v>79</v>
      </c>
      <c r="C9" s="1767"/>
      <c r="D9" s="1767"/>
      <c r="E9" s="1767"/>
      <c r="F9" s="1767"/>
      <c r="G9" s="1767"/>
      <c r="H9" s="1767"/>
    </row>
    <row r="10" spans="2:17" ht="15" customHeight="1" thickBot="1">
      <c r="B10" s="1768" t="s">
        <v>80</v>
      </c>
      <c r="C10" s="1768"/>
      <c r="D10" s="1768"/>
      <c r="E10" s="1768"/>
      <c r="F10" s="1768"/>
      <c r="G10" s="1768"/>
      <c r="H10" s="1768"/>
    </row>
    <row r="11" spans="2:17" ht="36" customHeight="1" thickTop="1" thickBot="1">
      <c r="B11" s="1762" t="s">
        <v>124</v>
      </c>
      <c r="C11" s="1762"/>
      <c r="D11" s="1762"/>
      <c r="E11" s="1762"/>
      <c r="F11" s="1763"/>
      <c r="G11" s="1115" t="s">
        <v>125</v>
      </c>
      <c r="H11" s="1116" t="s">
        <v>126</v>
      </c>
    </row>
    <row r="12" spans="2:17" ht="21" customHeight="1" thickTop="1">
      <c r="B12" s="1114"/>
      <c r="C12" s="1114"/>
      <c r="D12" s="1114"/>
      <c r="E12" s="1114"/>
      <c r="F12" s="1114"/>
      <c r="G12" s="1117"/>
      <c r="H12" s="1118"/>
    </row>
    <row r="13" spans="2:17" ht="21" customHeight="1">
      <c r="B13" s="1125" t="s">
        <v>808</v>
      </c>
      <c r="C13" s="690"/>
      <c r="D13" s="690"/>
      <c r="E13" s="690"/>
      <c r="F13" s="690"/>
      <c r="G13" s="689"/>
      <c r="H13" s="1124"/>
      <c r="K13" s="322"/>
      <c r="L13" s="322"/>
      <c r="M13" s="322"/>
      <c r="N13" s="322"/>
      <c r="O13" s="322"/>
      <c r="P13" s="322"/>
      <c r="Q13" s="322"/>
    </row>
    <row r="14" spans="2:17" ht="21" customHeight="1">
      <c r="B14" s="690"/>
      <c r="C14" s="690"/>
      <c r="D14" s="690"/>
      <c r="E14" s="690"/>
      <c r="F14" s="690"/>
      <c r="G14" s="689"/>
      <c r="H14" s="1124"/>
      <c r="K14" s="322"/>
      <c r="L14" s="322"/>
      <c r="M14" s="322"/>
      <c r="N14" s="322"/>
      <c r="O14" s="322"/>
      <c r="P14" s="322"/>
      <c r="Q14" s="322"/>
    </row>
    <row r="15" spans="2:17" ht="21" customHeight="1">
      <c r="B15" s="1114" t="s">
        <v>251</v>
      </c>
      <c r="C15" s="690"/>
      <c r="D15" s="690"/>
      <c r="E15" s="690"/>
      <c r="F15" s="690"/>
      <c r="G15" s="372"/>
      <c r="H15" s="1300" t="s">
        <v>787</v>
      </c>
      <c r="K15" s="377"/>
      <c r="L15" s="322"/>
      <c r="M15" s="322"/>
      <c r="N15" s="322"/>
      <c r="O15" s="322"/>
      <c r="P15" s="322"/>
      <c r="Q15" s="322"/>
    </row>
    <row r="16" spans="2:17" ht="21" customHeight="1">
      <c r="B16" s="690" t="s">
        <v>252</v>
      </c>
      <c r="C16" s="690"/>
      <c r="D16" s="690"/>
      <c r="E16" s="690"/>
      <c r="F16" s="690"/>
      <c r="G16" s="1174" t="s">
        <v>787</v>
      </c>
      <c r="H16" s="913">
        <f>+G15</f>
        <v>0</v>
      </c>
      <c r="K16" s="322"/>
      <c r="L16" s="322"/>
      <c r="M16" s="322"/>
      <c r="N16" s="322"/>
      <c r="O16" s="322"/>
      <c r="P16" s="322"/>
      <c r="Q16" s="322"/>
    </row>
    <row r="17" spans="2:17" ht="21" customHeight="1">
      <c r="B17" s="690"/>
      <c r="C17" s="690"/>
      <c r="D17" s="690"/>
      <c r="E17" s="690"/>
      <c r="F17" s="690"/>
      <c r="G17" s="906"/>
      <c r="H17" s="913"/>
      <c r="K17" s="322"/>
      <c r="L17" s="322"/>
      <c r="M17" s="322"/>
      <c r="N17" s="322"/>
      <c r="O17" s="322"/>
      <c r="P17" s="322"/>
      <c r="Q17" s="322"/>
    </row>
    <row r="18" spans="2:17" ht="21" customHeight="1">
      <c r="B18" s="690"/>
      <c r="C18" s="690" t="s">
        <v>459</v>
      </c>
      <c r="D18" s="690"/>
      <c r="E18" s="690"/>
      <c r="F18" s="690"/>
      <c r="G18" s="372"/>
      <c r="H18" s="568"/>
      <c r="K18" s="322"/>
      <c r="L18" s="322"/>
      <c r="M18" s="322"/>
      <c r="N18" s="322"/>
      <c r="O18" s="322"/>
      <c r="P18" s="322"/>
      <c r="Q18" s="322"/>
    </row>
    <row r="19" spans="2:17" ht="21" customHeight="1">
      <c r="B19" s="690"/>
      <c r="C19" s="648"/>
      <c r="D19" s="648"/>
      <c r="E19" s="648"/>
      <c r="F19" s="648"/>
      <c r="G19" s="372"/>
      <c r="H19" s="568"/>
      <c r="K19" s="322"/>
      <c r="L19" s="322"/>
      <c r="M19" s="322"/>
      <c r="N19" s="322"/>
      <c r="O19" s="322"/>
      <c r="P19" s="322"/>
      <c r="Q19" s="322"/>
    </row>
    <row r="20" spans="2:17" ht="21" customHeight="1">
      <c r="B20" s="690"/>
      <c r="C20" s="690" t="s">
        <v>1153</v>
      </c>
      <c r="D20" s="690"/>
      <c r="E20" s="690"/>
      <c r="F20" s="690"/>
      <c r="G20" s="372"/>
      <c r="H20" s="568"/>
      <c r="K20" s="322"/>
      <c r="L20" s="322"/>
      <c r="M20" s="322"/>
      <c r="N20" s="322"/>
      <c r="O20" s="322"/>
      <c r="P20" s="322"/>
      <c r="Q20" s="322"/>
    </row>
    <row r="21" spans="2:17" ht="21" customHeight="1">
      <c r="B21" s="690"/>
      <c r="C21" s="690" t="s">
        <v>809</v>
      </c>
      <c r="D21" s="690"/>
      <c r="E21" s="690"/>
      <c r="F21" s="690"/>
      <c r="G21" s="906"/>
      <c r="H21" s="907"/>
      <c r="K21" s="322"/>
      <c r="L21" s="322"/>
      <c r="M21" s="322"/>
      <c r="N21" s="322"/>
      <c r="O21" s="322"/>
      <c r="P21" s="322"/>
      <c r="Q21" s="322"/>
    </row>
    <row r="22" spans="2:17" ht="21" customHeight="1">
      <c r="B22" s="690"/>
      <c r="C22" s="690"/>
      <c r="D22" s="690" t="s">
        <v>104</v>
      </c>
      <c r="E22" s="690"/>
      <c r="F22" s="690"/>
      <c r="G22" s="372"/>
      <c r="H22" s="568"/>
      <c r="K22" s="322"/>
      <c r="L22" s="322"/>
      <c r="M22" s="322"/>
      <c r="N22" s="322"/>
      <c r="O22" s="322"/>
      <c r="P22" s="322"/>
      <c r="Q22" s="322"/>
    </row>
    <row r="23" spans="2:17" ht="21" customHeight="1">
      <c r="B23" s="690"/>
      <c r="C23" s="690"/>
      <c r="D23" s="690" t="s">
        <v>837</v>
      </c>
      <c r="E23" s="690"/>
      <c r="F23" s="690"/>
      <c r="G23" s="372"/>
      <c r="H23" s="568"/>
      <c r="K23" s="322"/>
      <c r="L23" s="322"/>
      <c r="M23" s="322"/>
      <c r="N23" s="322"/>
      <c r="O23" s="322"/>
      <c r="P23" s="322"/>
      <c r="Q23" s="322"/>
    </row>
    <row r="24" spans="2:17" ht="21" customHeight="1">
      <c r="B24" s="402"/>
      <c r="C24" s="648"/>
      <c r="D24" s="648" t="s">
        <v>3406</v>
      </c>
      <c r="E24" s="648"/>
      <c r="F24" s="648"/>
      <c r="G24" s="372"/>
      <c r="H24" s="589"/>
      <c r="K24" s="322"/>
      <c r="L24" s="322"/>
      <c r="M24" s="322"/>
      <c r="N24" s="322"/>
      <c r="O24" s="322"/>
      <c r="P24" s="322"/>
      <c r="Q24" s="322"/>
    </row>
    <row r="25" spans="2:17" ht="21" customHeight="1">
      <c r="B25" s="402"/>
      <c r="C25" s="648"/>
      <c r="D25" s="648" t="s">
        <v>3406</v>
      </c>
      <c r="E25" s="648"/>
      <c r="F25" s="648"/>
      <c r="G25" s="372"/>
      <c r="H25" s="589" t="s">
        <v>3406</v>
      </c>
    </row>
    <row r="26" spans="2:17" ht="21" customHeight="1">
      <c r="B26" s="402"/>
      <c r="C26" s="649"/>
      <c r="D26" s="648"/>
      <c r="E26" s="648"/>
      <c r="F26" s="648"/>
      <c r="G26" s="372"/>
      <c r="H26" s="651"/>
    </row>
    <row r="27" spans="2:17" ht="21" customHeight="1">
      <c r="B27" s="402"/>
      <c r="C27" s="648" t="s">
        <v>3406</v>
      </c>
      <c r="D27" s="648"/>
      <c r="E27" s="648"/>
      <c r="F27" s="648"/>
      <c r="G27" s="372"/>
      <c r="H27" s="589" t="s">
        <v>3406</v>
      </c>
    </row>
    <row r="28" spans="2:17" ht="21" customHeight="1">
      <c r="B28" s="402"/>
      <c r="C28" s="648"/>
      <c r="D28" s="648"/>
      <c r="E28" s="648"/>
      <c r="F28" s="648"/>
      <c r="G28" s="372"/>
      <c r="H28" s="589"/>
    </row>
    <row r="29" spans="2:17" ht="21" customHeight="1">
      <c r="B29" s="402"/>
      <c r="C29" s="648"/>
      <c r="D29" s="648" t="s">
        <v>3406</v>
      </c>
      <c r="E29" s="648"/>
      <c r="F29" s="648"/>
      <c r="G29" s="372"/>
      <c r="H29" s="589"/>
      <c r="K29" s="322"/>
      <c r="L29" s="322"/>
      <c r="M29" s="322"/>
      <c r="N29" s="322"/>
      <c r="O29" s="322"/>
      <c r="P29" s="322"/>
      <c r="Q29" s="322"/>
    </row>
    <row r="30" spans="2:17" ht="21" customHeight="1">
      <c r="B30" s="402"/>
      <c r="C30" s="648"/>
      <c r="D30" s="648" t="s">
        <v>3406</v>
      </c>
      <c r="E30" s="648"/>
      <c r="F30" s="648"/>
      <c r="G30" s="372"/>
      <c r="H30" s="589"/>
      <c r="K30" s="322"/>
      <c r="L30" s="322"/>
      <c r="M30" s="322"/>
      <c r="N30" s="322"/>
      <c r="O30" s="322"/>
      <c r="P30" s="322"/>
      <c r="Q30" s="322"/>
    </row>
    <row r="31" spans="2:17" ht="21" customHeight="1">
      <c r="B31" s="402"/>
      <c r="C31" s="648"/>
      <c r="D31" s="648" t="s">
        <v>3406</v>
      </c>
      <c r="E31" s="648"/>
      <c r="F31" s="648"/>
      <c r="G31" s="372"/>
      <c r="H31" s="589" t="s">
        <v>3406</v>
      </c>
    </row>
    <row r="32" spans="2:17" ht="21" customHeight="1">
      <c r="B32" s="402"/>
      <c r="C32" s="649"/>
      <c r="D32" s="648"/>
      <c r="E32" s="648"/>
      <c r="F32" s="648"/>
      <c r="G32" s="372"/>
      <c r="H32" s="651"/>
    </row>
    <row r="33" spans="2:17" ht="21" customHeight="1">
      <c r="B33" s="402"/>
      <c r="C33" s="648" t="s">
        <v>3406</v>
      </c>
      <c r="D33" s="648"/>
      <c r="E33" s="648"/>
      <c r="F33" s="648"/>
      <c r="G33" s="372"/>
      <c r="H33" s="589" t="s">
        <v>3406</v>
      </c>
    </row>
    <row r="34" spans="2:17" ht="21" customHeight="1">
      <c r="B34" s="402"/>
      <c r="C34" s="648"/>
      <c r="D34" s="648"/>
      <c r="E34" s="648"/>
      <c r="F34" s="648"/>
      <c r="G34" s="372"/>
      <c r="H34" s="589"/>
    </row>
    <row r="35" spans="2:17" ht="21" customHeight="1">
      <c r="B35" s="402"/>
      <c r="C35" s="648"/>
      <c r="D35" s="648" t="s">
        <v>3406</v>
      </c>
      <c r="E35" s="648"/>
      <c r="F35" s="648"/>
      <c r="G35" s="372"/>
      <c r="H35" s="589"/>
      <c r="K35" s="322"/>
      <c r="L35" s="322"/>
      <c r="M35" s="322"/>
      <c r="N35" s="322"/>
      <c r="O35" s="322"/>
      <c r="P35" s="322"/>
      <c r="Q35" s="322"/>
    </row>
    <row r="36" spans="2:17" ht="21" customHeight="1">
      <c r="B36" s="402"/>
      <c r="C36" s="648"/>
      <c r="D36" s="648" t="s">
        <v>3406</v>
      </c>
      <c r="E36" s="648"/>
      <c r="F36" s="648"/>
      <c r="G36" s="372"/>
      <c r="H36" s="589" t="s">
        <v>3406</v>
      </c>
    </row>
    <row r="37" spans="2:17" ht="21" customHeight="1">
      <c r="B37" s="402"/>
      <c r="C37" s="649"/>
      <c r="D37" s="648"/>
      <c r="E37" s="648"/>
      <c r="F37" s="648"/>
      <c r="G37" s="372"/>
      <c r="H37" s="651"/>
    </row>
    <row r="38" spans="2:17" ht="21" customHeight="1">
      <c r="B38" s="402"/>
      <c r="C38" s="648" t="s">
        <v>3406</v>
      </c>
      <c r="D38" s="648"/>
      <c r="E38" s="648"/>
      <c r="F38" s="648"/>
      <c r="G38" s="372"/>
      <c r="H38" s="589" t="s">
        <v>3406</v>
      </c>
    </row>
    <row r="39" spans="2:17" ht="21" customHeight="1">
      <c r="B39" s="402"/>
      <c r="C39" s="648"/>
      <c r="D39" s="648"/>
      <c r="E39" s="648"/>
      <c r="F39" s="648"/>
      <c r="G39" s="372"/>
      <c r="H39" s="589"/>
    </row>
    <row r="40" spans="2:17" ht="21" customHeight="1">
      <c r="B40" s="402"/>
      <c r="C40" s="648"/>
      <c r="D40" s="648"/>
      <c r="E40" s="648"/>
      <c r="F40" s="648"/>
      <c r="G40" s="372"/>
      <c r="H40" s="589"/>
    </row>
    <row r="41" spans="2:17" ht="21" customHeight="1">
      <c r="B41" s="402"/>
      <c r="C41" s="648" t="s">
        <v>3406</v>
      </c>
      <c r="D41" s="648"/>
      <c r="E41" s="648"/>
      <c r="F41" s="648"/>
      <c r="G41" s="372"/>
      <c r="H41" s="589" t="s">
        <v>3406</v>
      </c>
    </row>
    <row r="42" spans="2:17" ht="21" customHeight="1">
      <c r="B42" s="402"/>
      <c r="C42" s="648" t="s">
        <v>3406</v>
      </c>
      <c r="D42" s="648"/>
      <c r="E42" s="648"/>
      <c r="F42" s="648"/>
      <c r="G42" s="372"/>
      <c r="H42" s="589" t="s">
        <v>3406</v>
      </c>
    </row>
    <row r="43" spans="2:17" ht="21" customHeight="1" thickBot="1">
      <c r="B43" s="690"/>
      <c r="C43" s="690"/>
      <c r="D43" s="690"/>
      <c r="E43" s="690"/>
      <c r="F43" s="690"/>
      <c r="G43" s="1294"/>
      <c r="H43" s="1295"/>
      <c r="I43" s="399"/>
      <c r="M43" s="399"/>
    </row>
    <row r="44" spans="2:17" ht="21" customHeight="1" thickBot="1">
      <c r="B44" s="690"/>
      <c r="C44" s="690" t="s">
        <v>3545</v>
      </c>
      <c r="D44" s="690"/>
      <c r="E44" s="690"/>
      <c r="F44" s="690"/>
      <c r="G44" s="1296">
        <f>SUM(G15:G42)</f>
        <v>0</v>
      </c>
      <c r="H44" s="1297">
        <f>SUM(H15:H43)</f>
        <v>0</v>
      </c>
      <c r="I44" s="399"/>
      <c r="K44" s="399"/>
    </row>
    <row r="45" spans="2:17" ht="13.8" thickTop="1">
      <c r="B45" s="1778" t="s">
        <v>127</v>
      </c>
      <c r="C45" s="1778"/>
      <c r="D45" s="1778"/>
      <c r="E45" s="1778"/>
      <c r="F45" s="1778"/>
      <c r="G45" s="1779"/>
      <c r="H45" s="1779"/>
    </row>
    <row r="46" spans="2:17">
      <c r="B46" s="918"/>
      <c r="C46" s="918"/>
      <c r="D46" s="918"/>
      <c r="E46" s="918"/>
      <c r="F46" s="918"/>
      <c r="G46" s="918"/>
      <c r="H46" s="918"/>
    </row>
    <row r="47" spans="2:17">
      <c r="B47" s="918"/>
      <c r="C47" s="918"/>
      <c r="D47" s="918"/>
      <c r="E47" s="918"/>
      <c r="F47" s="918"/>
      <c r="G47" s="918"/>
      <c r="H47" s="918"/>
    </row>
    <row r="48" spans="2:17">
      <c r="B48" s="918"/>
      <c r="C48" s="918"/>
      <c r="D48" s="918"/>
      <c r="E48" s="918"/>
      <c r="F48" s="918"/>
      <c r="G48" s="918"/>
      <c r="H48" s="918"/>
    </row>
    <row r="49" spans="2:8">
      <c r="B49" s="918"/>
      <c r="C49" s="918"/>
      <c r="D49" s="918"/>
      <c r="E49" s="918"/>
      <c r="F49" s="918"/>
      <c r="G49" s="918"/>
      <c r="H49" s="918"/>
    </row>
    <row r="50" spans="2:8" ht="13.8">
      <c r="B50" s="1765" t="s">
        <v>3411</v>
      </c>
      <c r="C50" s="1765"/>
      <c r="D50" s="1765"/>
      <c r="E50" s="1765"/>
      <c r="F50" s="1765"/>
      <c r="G50" s="1765"/>
      <c r="H50" s="1765"/>
    </row>
    <row r="55" spans="2:8">
      <c r="H55" s="399"/>
    </row>
  </sheetData>
  <sheetProtection algorithmName="SHA-512" hashValue="+NnAy6vlJ0yrzef00lt6RF91R/s3sGlbda7UDQc7MU4sYGVsk/VnKTZ/oTCCORyTGywlp6Hg5cJBaP21K/BACA==" saltValue="FQsDlwWG7J8SD3hPKqnBS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6">
    <tabColor theme="2" tint="-0.249977111117893"/>
  </sheetPr>
  <dimension ref="B1:Q55"/>
  <sheetViews>
    <sheetView zoomScaleNormal="100" zoomScaleSheetLayoutView="80" workbookViewId="0">
      <selection activeCell="H23" sqref="H23"/>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1" spans="2:17">
      <c r="B1" s="1114"/>
      <c r="C1" s="1114"/>
      <c r="D1" s="1114"/>
      <c r="E1" s="1114"/>
      <c r="F1" s="1114"/>
      <c r="G1" s="1114"/>
      <c r="H1" s="1114"/>
    </row>
    <row r="2" spans="2:17">
      <c r="B2" s="1758" t="s">
        <v>37</v>
      </c>
      <c r="C2" s="1758"/>
      <c r="D2" s="1758"/>
      <c r="E2" s="1758"/>
      <c r="F2" s="1758"/>
      <c r="G2" s="1758"/>
      <c r="H2" s="1758"/>
    </row>
    <row r="3" spans="2:17">
      <c r="B3" s="1758" t="s">
        <v>572</v>
      </c>
      <c r="C3" s="1758"/>
      <c r="D3" s="1758"/>
      <c r="E3" s="1758"/>
      <c r="F3" s="1758"/>
      <c r="G3" s="1758"/>
      <c r="H3" s="1758"/>
    </row>
    <row r="4" spans="2:17">
      <c r="B4" s="1114"/>
      <c r="C4" s="1114"/>
      <c r="D4" s="1114"/>
      <c r="E4" s="1114"/>
      <c r="F4" s="1114"/>
      <c r="G4" s="1114"/>
      <c r="H4" s="1114"/>
    </row>
    <row r="5" spans="2:17" ht="22.8">
      <c r="B5" s="1759" t="s">
        <v>543</v>
      </c>
      <c r="C5" s="1759"/>
      <c r="D5" s="1759"/>
      <c r="E5" s="1759"/>
      <c r="F5" s="1759"/>
      <c r="G5" s="1759"/>
      <c r="H5" s="1759"/>
    </row>
    <row r="6" spans="2:17" ht="22.8">
      <c r="B6" s="1759" t="str">
        <f>"TRIAL  BALANCE - "&amp;UPPER('KEY INPUTS'!D55)&amp;"  UTILITY  FUND (cont'd)"</f>
        <v>TRIAL  BALANCE -   UTILITY  FUND (cont'd)</v>
      </c>
      <c r="C6" s="1759"/>
      <c r="D6" s="1759"/>
      <c r="E6" s="1759"/>
      <c r="F6" s="1759"/>
      <c r="G6" s="1759"/>
      <c r="H6" s="1759"/>
    </row>
    <row r="7" spans="2:17" ht="15.6">
      <c r="B7" s="1760" t="str">
        <f>'KEY INPUTS'!D44</f>
        <v>AS  AT  DECEMBER  31, 2019</v>
      </c>
      <c r="C7" s="1761"/>
      <c r="D7" s="1761"/>
      <c r="E7" s="1761"/>
      <c r="F7" s="1761"/>
      <c r="G7" s="1761"/>
      <c r="H7" s="1761"/>
    </row>
    <row r="8" spans="2:17" ht="15.6">
      <c r="B8" s="1766" t="s">
        <v>573</v>
      </c>
      <c r="C8" s="1766"/>
      <c r="D8" s="1766"/>
      <c r="E8" s="1766"/>
      <c r="F8" s="1766"/>
      <c r="G8" s="1766"/>
      <c r="H8" s="1766"/>
    </row>
    <row r="9" spans="2:17">
      <c r="B9" s="1767" t="s">
        <v>79</v>
      </c>
      <c r="C9" s="1767"/>
      <c r="D9" s="1767"/>
      <c r="E9" s="1767"/>
      <c r="F9" s="1767"/>
      <c r="G9" s="1767"/>
      <c r="H9" s="1767"/>
    </row>
    <row r="10" spans="2:17" ht="15" customHeight="1" thickBot="1">
      <c r="B10" s="1768" t="s">
        <v>80</v>
      </c>
      <c r="C10" s="1768"/>
      <c r="D10" s="1768"/>
      <c r="E10" s="1768"/>
      <c r="F10" s="1768"/>
      <c r="G10" s="1768"/>
      <c r="H10" s="1768"/>
    </row>
    <row r="11" spans="2:17" ht="36" customHeight="1" thickTop="1" thickBot="1">
      <c r="B11" s="1762" t="s">
        <v>124</v>
      </c>
      <c r="C11" s="1762"/>
      <c r="D11" s="1762"/>
      <c r="E11" s="1762"/>
      <c r="F11" s="1763"/>
      <c r="G11" s="1115" t="s">
        <v>125</v>
      </c>
      <c r="H11" s="1116" t="s">
        <v>126</v>
      </c>
    </row>
    <row r="12" spans="2:17" ht="21" customHeight="1" thickTop="1">
      <c r="B12" s="690"/>
      <c r="C12" s="690" t="s">
        <v>3546</v>
      </c>
      <c r="D12" s="690"/>
      <c r="E12" s="690"/>
      <c r="F12" s="690"/>
      <c r="G12" s="906">
        <f>'41a-Utility4'!G44</f>
        <v>0</v>
      </c>
      <c r="H12" s="913">
        <f>'41a-Utility4'!H44</f>
        <v>0</v>
      </c>
    </row>
    <row r="13" spans="2:17" ht="21" customHeight="1">
      <c r="C13" s="649"/>
      <c r="D13" s="649"/>
      <c r="E13" s="649"/>
      <c r="F13" s="649"/>
      <c r="G13" s="601"/>
      <c r="H13" s="651"/>
    </row>
    <row r="14" spans="2:17" ht="21" customHeight="1">
      <c r="B14" s="407"/>
      <c r="C14" s="648"/>
      <c r="D14" s="648"/>
      <c r="E14" s="648"/>
      <c r="F14" s="648"/>
      <c r="G14" s="601"/>
      <c r="H14" s="609"/>
      <c r="K14" s="322"/>
      <c r="L14" s="322"/>
      <c r="M14" s="322"/>
      <c r="N14" s="322"/>
      <c r="O14" s="322"/>
      <c r="P14" s="322"/>
      <c r="Q14" s="322"/>
    </row>
    <row r="15" spans="2:17" ht="21" customHeight="1">
      <c r="B15" s="402"/>
      <c r="C15" s="648"/>
      <c r="D15" s="648"/>
      <c r="E15" s="648"/>
      <c r="F15" s="648"/>
      <c r="G15" s="601"/>
      <c r="H15" s="609"/>
      <c r="K15" s="322"/>
      <c r="L15" s="322"/>
      <c r="M15" s="322"/>
      <c r="N15" s="322"/>
      <c r="O15" s="322"/>
      <c r="P15" s="322"/>
      <c r="Q15" s="322"/>
    </row>
    <row r="16" spans="2:17" ht="21" customHeight="1">
      <c r="B16" s="402"/>
      <c r="C16" s="648"/>
      <c r="D16" s="648"/>
      <c r="E16" s="648"/>
      <c r="F16" s="648"/>
      <c r="G16" s="372"/>
      <c r="H16" s="589"/>
      <c r="K16" s="322"/>
      <c r="L16" s="322"/>
      <c r="M16" s="322"/>
      <c r="N16" s="322"/>
      <c r="O16" s="322"/>
      <c r="P16" s="322"/>
      <c r="Q16" s="322"/>
    </row>
    <row r="17" spans="2:17" ht="21" customHeight="1">
      <c r="B17" s="690"/>
      <c r="C17" s="690" t="s">
        <v>3414</v>
      </c>
      <c r="D17" s="690"/>
      <c r="E17" s="690"/>
      <c r="F17" s="690"/>
      <c r="G17" s="906"/>
      <c r="H17" s="913">
        <f>+'49-Utility4'!G22</f>
        <v>0</v>
      </c>
      <c r="K17" s="322"/>
      <c r="L17" s="322"/>
      <c r="M17" s="322"/>
      <c r="N17" s="322"/>
      <c r="O17" s="322"/>
      <c r="P17" s="322"/>
      <c r="Q17" s="322"/>
    </row>
    <row r="18" spans="2:17" ht="21" customHeight="1">
      <c r="B18" s="690"/>
      <c r="C18" s="690" t="s">
        <v>3678</v>
      </c>
      <c r="D18" s="690"/>
      <c r="E18" s="690"/>
      <c r="F18" s="690"/>
      <c r="G18" s="906"/>
      <c r="H18" s="913">
        <f>'49a-Utility4'!G11-'49a-Utility4'!G22+'49a.1-Utility4'!G11-'49a.1-Utility4'!G22</f>
        <v>0</v>
      </c>
    </row>
    <row r="19" spans="2:17" ht="21" customHeight="1">
      <c r="B19" s="690"/>
      <c r="C19" s="690" t="s">
        <v>3688</v>
      </c>
      <c r="D19" s="690"/>
      <c r="E19" s="690"/>
      <c r="F19" s="690"/>
      <c r="G19" s="906"/>
      <c r="H19" s="913">
        <f>+'51a-Utility4'!G23</f>
        <v>0</v>
      </c>
      <c r="K19" s="322"/>
      <c r="L19" s="322"/>
      <c r="M19" s="322"/>
      <c r="N19" s="322"/>
      <c r="O19" s="322"/>
      <c r="P19" s="322"/>
      <c r="Q19" s="322"/>
    </row>
    <row r="20" spans="2:17" ht="21" customHeight="1">
      <c r="B20" s="690"/>
      <c r="C20" s="914" t="s">
        <v>3413</v>
      </c>
      <c r="D20" s="690"/>
      <c r="E20" s="690"/>
      <c r="F20" s="690"/>
      <c r="G20" s="906"/>
      <c r="H20" s="913">
        <f>+'50-Utility4'!G18</f>
        <v>0</v>
      </c>
      <c r="K20" s="322"/>
      <c r="L20" s="322"/>
      <c r="M20" s="322"/>
      <c r="N20" s="322"/>
      <c r="O20" s="322"/>
      <c r="P20" s="322"/>
      <c r="Q20" s="322"/>
    </row>
    <row r="21" spans="2:17" ht="21" customHeight="1">
      <c r="B21" s="690"/>
      <c r="C21" s="690" t="s">
        <v>1004</v>
      </c>
      <c r="D21" s="690"/>
      <c r="E21" s="690"/>
      <c r="F21" s="690"/>
      <c r="G21" s="906"/>
      <c r="H21" s="913" t="s">
        <v>3406</v>
      </c>
      <c r="K21" s="322"/>
      <c r="L21" s="322"/>
      <c r="M21" s="322"/>
      <c r="N21" s="322"/>
      <c r="O21" s="322"/>
      <c r="P21" s="322"/>
      <c r="Q21" s="322"/>
    </row>
    <row r="22" spans="2:17" ht="21" customHeight="1">
      <c r="B22" s="690"/>
      <c r="C22" s="690"/>
      <c r="D22" s="690" t="s">
        <v>1001</v>
      </c>
      <c r="E22" s="690"/>
      <c r="F22" s="690"/>
      <c r="G22" s="906"/>
      <c r="H22" s="913">
        <f>+'52-Utility4'!K27</f>
        <v>0</v>
      </c>
      <c r="J22" s="399"/>
      <c r="K22" s="322"/>
      <c r="L22" s="322"/>
      <c r="M22" s="322"/>
      <c r="N22" s="322"/>
      <c r="O22" s="322"/>
      <c r="P22" s="322"/>
      <c r="Q22" s="322"/>
    </row>
    <row r="23" spans="2:17" ht="21" customHeight="1">
      <c r="B23" s="690"/>
      <c r="C23" s="690"/>
      <c r="D23" s="690" t="s">
        <v>1002</v>
      </c>
      <c r="E23" s="690"/>
      <c r="F23" s="690"/>
      <c r="G23" s="906"/>
      <c r="H23" s="913">
        <f>+'52-Utility4'!L27</f>
        <v>0</v>
      </c>
      <c r="J23" s="399"/>
      <c r="K23" s="322"/>
      <c r="L23" s="322"/>
      <c r="M23" s="322"/>
      <c r="N23" s="322"/>
      <c r="O23" s="322"/>
      <c r="P23" s="322"/>
      <c r="Q23" s="322"/>
    </row>
    <row r="24" spans="2:17" ht="21" customHeight="1">
      <c r="B24" s="402"/>
      <c r="C24" s="648" t="s">
        <v>3412</v>
      </c>
      <c r="D24" s="648"/>
      <c r="E24" s="648"/>
      <c r="F24" s="648"/>
      <c r="G24" s="372"/>
      <c r="H24" s="568"/>
    </row>
    <row r="25" spans="2:17" ht="21" customHeight="1">
      <c r="B25" s="402"/>
      <c r="C25" s="648" t="s">
        <v>840</v>
      </c>
      <c r="D25" s="648"/>
      <c r="E25" s="648"/>
      <c r="F25" s="648"/>
      <c r="G25" s="372"/>
      <c r="H25" s="568"/>
    </row>
    <row r="26" spans="2:17" ht="21" customHeight="1">
      <c r="B26" s="402"/>
      <c r="C26" s="648" t="str">
        <f>"DUE TO "&amp;UPPER('KEY INPUTS'!D52)&amp;" OPERATING"</f>
        <v>DUE TO  OPERATING</v>
      </c>
      <c r="D26" s="648"/>
      <c r="E26" s="648"/>
      <c r="F26" s="648"/>
      <c r="G26" s="372"/>
      <c r="H26" s="568"/>
    </row>
    <row r="27" spans="2:17" ht="21" customHeight="1">
      <c r="B27" s="402"/>
      <c r="C27" s="648" t="s">
        <v>839</v>
      </c>
      <c r="D27" s="648"/>
      <c r="E27" s="648"/>
      <c r="F27" s="648"/>
      <c r="G27" s="372"/>
      <c r="H27" s="568"/>
    </row>
    <row r="28" spans="2:17" ht="21" customHeight="1">
      <c r="B28" s="402"/>
      <c r="C28" s="648" t="s">
        <v>838</v>
      </c>
      <c r="D28" s="648"/>
      <c r="E28" s="648"/>
      <c r="F28" s="648"/>
      <c r="G28" s="372"/>
      <c r="H28" s="568"/>
    </row>
    <row r="29" spans="2:17" ht="21" customHeight="1">
      <c r="B29" s="402"/>
      <c r="C29" s="648" t="s">
        <v>370</v>
      </c>
      <c r="D29" s="648"/>
      <c r="E29" s="648"/>
      <c r="F29" s="648"/>
      <c r="G29" s="372"/>
      <c r="H29" s="568"/>
    </row>
    <row r="30" spans="2:17" ht="21" customHeight="1">
      <c r="B30" s="402"/>
      <c r="C30" s="648"/>
      <c r="D30" s="648"/>
      <c r="E30" s="648"/>
      <c r="F30" s="648"/>
      <c r="G30" s="372"/>
      <c r="H30" s="589" t="s">
        <v>3406</v>
      </c>
    </row>
    <row r="31" spans="2:17" ht="21" customHeight="1">
      <c r="B31" s="402"/>
      <c r="C31" s="648"/>
      <c r="D31" s="648"/>
      <c r="E31" s="648"/>
      <c r="F31" s="648"/>
      <c r="G31" s="372"/>
      <c r="H31" s="589" t="s">
        <v>3406</v>
      </c>
    </row>
    <row r="32" spans="2:17" ht="21" customHeight="1">
      <c r="B32" s="402"/>
      <c r="C32" s="648"/>
      <c r="D32" s="648"/>
      <c r="E32" s="648"/>
      <c r="F32" s="648"/>
      <c r="G32" s="372"/>
      <c r="H32" s="651"/>
    </row>
    <row r="33" spans="2:13" ht="21" customHeight="1">
      <c r="B33" s="402"/>
      <c r="C33" s="648"/>
      <c r="D33" s="648"/>
      <c r="E33" s="648"/>
      <c r="F33" s="648"/>
      <c r="G33" s="372"/>
      <c r="H33" s="589" t="s">
        <v>3406</v>
      </c>
    </row>
    <row r="34" spans="2:13" ht="21" customHeight="1">
      <c r="B34" s="402"/>
      <c r="C34" s="648"/>
      <c r="D34" s="648"/>
      <c r="E34" s="648"/>
      <c r="F34" s="648"/>
      <c r="G34" s="372"/>
      <c r="H34" s="589"/>
    </row>
    <row r="35" spans="2:13" ht="21" customHeight="1">
      <c r="B35" s="402"/>
      <c r="C35" s="648"/>
      <c r="D35" s="648"/>
      <c r="E35" s="648"/>
      <c r="F35" s="648"/>
      <c r="G35" s="372"/>
      <c r="H35" s="589"/>
    </row>
    <row r="36" spans="2:13" ht="21" customHeight="1">
      <c r="B36" s="402"/>
      <c r="C36" s="648"/>
      <c r="D36" s="648"/>
      <c r="E36" s="648"/>
      <c r="F36" s="648"/>
      <c r="G36" s="372"/>
      <c r="H36" s="589" t="s">
        <v>3406</v>
      </c>
    </row>
    <row r="37" spans="2:13" ht="21" customHeight="1">
      <c r="B37" s="402"/>
      <c r="C37" s="648"/>
      <c r="D37" s="648"/>
      <c r="E37" s="648"/>
      <c r="F37" s="648"/>
      <c r="G37" s="372"/>
      <c r="H37" s="651"/>
    </row>
    <row r="38" spans="2:13" ht="21" customHeight="1">
      <c r="B38" s="402"/>
      <c r="C38" s="648"/>
      <c r="D38" s="648"/>
      <c r="E38" s="648"/>
      <c r="F38" s="648"/>
      <c r="G38" s="372"/>
      <c r="H38" s="589" t="s">
        <v>3406</v>
      </c>
    </row>
    <row r="39" spans="2:13" ht="21" customHeight="1">
      <c r="B39" s="402"/>
      <c r="C39" s="648"/>
      <c r="D39" s="648"/>
      <c r="E39" s="648"/>
      <c r="F39" s="648"/>
      <c r="G39" s="372"/>
      <c r="H39" s="589"/>
    </row>
    <row r="40" spans="2:13" ht="21" customHeight="1">
      <c r="B40" s="690"/>
      <c r="C40" s="690" t="s">
        <v>3480</v>
      </c>
      <c r="D40" s="690"/>
      <c r="E40" s="690"/>
      <c r="F40" s="690"/>
      <c r="G40" s="906"/>
      <c r="H40" s="913">
        <f>+'53-Utility4'!I41</f>
        <v>0</v>
      </c>
    </row>
    <row r="41" spans="2:13" ht="21" customHeight="1">
      <c r="B41" s="690"/>
      <c r="C41" s="690" t="s">
        <v>1005</v>
      </c>
      <c r="D41" s="690"/>
      <c r="E41" s="690"/>
      <c r="F41" s="690"/>
      <c r="G41" s="906"/>
      <c r="H41" s="913">
        <f>+'53-Utility4'!I24</f>
        <v>0</v>
      </c>
    </row>
    <row r="42" spans="2:13" ht="21" customHeight="1">
      <c r="B42" s="690"/>
      <c r="C42" s="690" t="s">
        <v>807</v>
      </c>
      <c r="D42" s="690"/>
      <c r="E42" s="690"/>
      <c r="F42" s="690"/>
      <c r="G42" s="906"/>
      <c r="H42" s="913">
        <f>+'54-Utility4'!I42</f>
        <v>0</v>
      </c>
    </row>
    <row r="43" spans="2:13" ht="21" customHeight="1" thickBot="1">
      <c r="B43" s="690"/>
      <c r="C43" s="690"/>
      <c r="D43" s="690"/>
      <c r="E43" s="690"/>
      <c r="F43" s="690"/>
      <c r="G43" s="1294"/>
      <c r="H43" s="1295"/>
      <c r="I43" s="399"/>
      <c r="M43" s="399"/>
    </row>
    <row r="44" spans="2:13" ht="21" customHeight="1" thickBot="1">
      <c r="B44" s="690"/>
      <c r="C44" s="690" t="s">
        <v>1000</v>
      </c>
      <c r="D44" s="690"/>
      <c r="E44" s="690"/>
      <c r="F44" s="690"/>
      <c r="G44" s="1296">
        <f>SUM(G12:G42)</f>
        <v>0</v>
      </c>
      <c r="H44" s="1297">
        <f>SUM(H12:H43)</f>
        <v>0</v>
      </c>
      <c r="I44" s="399"/>
      <c r="K44" s="399"/>
    </row>
    <row r="45" spans="2:13" ht="13.8" thickTop="1">
      <c r="B45" s="1917" t="s">
        <v>127</v>
      </c>
      <c r="C45" s="1917"/>
      <c r="D45" s="1917"/>
      <c r="E45" s="1917"/>
      <c r="F45" s="1917"/>
      <c r="G45" s="1918"/>
      <c r="H45" s="1918"/>
    </row>
    <row r="46" spans="2:13">
      <c r="B46" s="1299"/>
      <c r="C46" s="1299"/>
      <c r="D46" s="1299"/>
      <c r="E46" s="1299"/>
      <c r="F46" s="1299"/>
      <c r="G46" s="1299"/>
      <c r="H46" s="1299"/>
    </row>
    <row r="47" spans="2:13">
      <c r="B47" s="1299"/>
      <c r="C47" s="1299"/>
      <c r="D47" s="1299"/>
      <c r="E47" s="1299"/>
      <c r="F47" s="1299"/>
      <c r="G47" s="1299"/>
      <c r="H47" s="1299"/>
    </row>
    <row r="48" spans="2:13">
      <c r="B48" s="1299"/>
      <c r="C48" s="1299"/>
      <c r="D48" s="1299"/>
      <c r="E48" s="1299"/>
      <c r="F48" s="1299"/>
      <c r="G48" s="1299"/>
      <c r="H48" s="1299"/>
    </row>
    <row r="49" spans="2:8">
      <c r="B49" s="1299"/>
      <c r="C49" s="1299"/>
      <c r="D49" s="1299"/>
      <c r="E49" s="1299"/>
      <c r="F49" s="1299"/>
      <c r="G49" s="1299"/>
      <c r="H49" s="1299"/>
    </row>
    <row r="50" spans="2:8" ht="13.8">
      <c r="B50" s="1950" t="s">
        <v>3690</v>
      </c>
      <c r="C50" s="1950"/>
      <c r="D50" s="1950"/>
      <c r="E50" s="1950"/>
      <c r="F50" s="1950"/>
      <c r="G50" s="1950"/>
      <c r="H50" s="1950"/>
    </row>
    <row r="55" spans="2:8">
      <c r="H55" s="399"/>
    </row>
  </sheetData>
  <sheetProtection algorithmName="SHA-512" hashValue="3lgbLrVJp9iXwbT2Lcl/871pZEtbQ6PWcDStxENG4UV130po0MYfw7J8RwS1BXqE6hBwAEwryGb8QKKZrJrdig==" saltValue="8Tr3Ic92Jhajc8Mh23d1+A==" spinCount="100000" sheet="1" objects="1" scenarios="1"/>
  <customSheetViews>
    <customSheetView guid="{AC653BD0-46E3-42CB-9C76-32121A57B65A}">
      <selection activeCell="H23" sqref="H23"/>
      <pageMargins left="0.25" right="0.25" top="0.5" bottom="0.5" header="0.25" footer="0.25"/>
      <pageSetup paperSize="5" orientation="portrait" r:id="rId1"/>
      <headerFooter alignWithMargins="0"/>
    </customSheetView>
    <customSheetView guid="{B165479B-DC25-403C-9595-F1A88A4AA9A2}">
      <selection activeCell="H23" sqref="H23"/>
      <pageMargins left="0.25" right="0.25" top="0.5" bottom="0.5" header="0.25" footer="0.25"/>
      <pageSetup paperSize="5" orientation="portrait" r:id="rId2"/>
      <headerFooter alignWithMargins="0"/>
    </customSheetView>
    <customSheetView guid="{A64E4C9E-A3DA-4AAA-8607-F524450B9436}">
      <selection activeCell="H23" sqref="H23"/>
      <pageMargins left="0.25" right="0.25" top="0.5" bottom="0.5" header="0.25" footer="0.25"/>
      <pageSetup paperSize="5" orientation="portrait" r:id="rId3"/>
      <headerFooter alignWithMargins="0"/>
    </customSheetView>
    <customSheetView guid="{AB4FBD91-4533-473A-9702-569FF6402073}">
      <selection activeCell="H23" sqref="H23"/>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7">
    <tabColor theme="2" tint="-0.249977111117893"/>
  </sheetPr>
  <dimension ref="B1:R49"/>
  <sheetViews>
    <sheetView topLeftCell="A22" zoomScaleNormal="100" zoomScaleSheetLayoutView="80" workbookViewId="0">
      <selection activeCell="H38" sqref="H38"/>
    </sheetView>
  </sheetViews>
  <sheetFormatPr defaultColWidth="9.109375" defaultRowHeight="13.2"/>
  <cols>
    <col min="1" max="1" width="4.6640625" style="331" customWidth="1"/>
    <col min="2" max="2" width="4.88671875" style="331" customWidth="1"/>
    <col min="3" max="4" width="4.6640625" style="331" customWidth="1"/>
    <col min="5" max="5" width="30.6640625" style="331" customWidth="1"/>
    <col min="6" max="6" width="15.6640625" style="331" customWidth="1"/>
    <col min="7" max="8" width="16.6640625" style="331" customWidth="1"/>
    <col min="9" max="16384" width="9.109375" style="331"/>
  </cols>
  <sheetData>
    <row r="1" spans="2:18">
      <c r="B1" s="1146"/>
      <c r="C1" s="1146"/>
      <c r="D1" s="1146"/>
      <c r="E1" s="1146"/>
      <c r="F1" s="1146"/>
      <c r="G1" s="1146"/>
      <c r="H1" s="1146"/>
    </row>
    <row r="2" spans="2:18">
      <c r="B2" s="1146"/>
      <c r="C2" s="1146"/>
      <c r="D2" s="1146"/>
      <c r="E2" s="1146"/>
      <c r="F2" s="1146"/>
      <c r="G2" s="1146"/>
      <c r="H2" s="1146"/>
    </row>
    <row r="3" spans="2:18" ht="22.8">
      <c r="B3" s="1782" t="s">
        <v>1043</v>
      </c>
      <c r="C3" s="1782"/>
      <c r="D3" s="1782"/>
      <c r="E3" s="1782"/>
      <c r="F3" s="1782"/>
      <c r="G3" s="1782"/>
      <c r="H3" s="1782"/>
    </row>
    <row r="4" spans="2:18" ht="22.8">
      <c r="B4" s="1782" t="s">
        <v>1044</v>
      </c>
      <c r="C4" s="1782"/>
      <c r="D4" s="1782"/>
      <c r="E4" s="1782"/>
      <c r="F4" s="1782"/>
      <c r="G4" s="1782"/>
      <c r="H4" s="1782"/>
    </row>
    <row r="5" spans="2:18" ht="15.6">
      <c r="B5" s="1783"/>
      <c r="C5" s="1783"/>
      <c r="D5" s="1783"/>
      <c r="E5" s="1783"/>
      <c r="F5" s="1783"/>
      <c r="G5" s="1783"/>
      <c r="H5" s="1783"/>
    </row>
    <row r="6" spans="2:18" ht="13.8">
      <c r="B6" s="1781" t="s">
        <v>1045</v>
      </c>
      <c r="C6" s="1781"/>
      <c r="D6" s="1781"/>
      <c r="E6" s="1781"/>
      <c r="F6" s="1781"/>
      <c r="G6" s="1781"/>
      <c r="H6" s="1781"/>
    </row>
    <row r="7" spans="2:18" ht="13.8">
      <c r="B7" s="1781" t="s">
        <v>1053</v>
      </c>
      <c r="C7" s="1781"/>
      <c r="D7" s="1781"/>
      <c r="E7" s="1781"/>
      <c r="F7" s="1781"/>
      <c r="G7" s="1781"/>
      <c r="H7" s="1781"/>
    </row>
    <row r="8" spans="2:18" ht="13.8">
      <c r="B8" s="1133"/>
      <c r="C8" s="1133"/>
      <c r="D8" s="1133"/>
      <c r="E8" s="1133"/>
      <c r="F8" s="1133"/>
      <c r="G8" s="1133"/>
      <c r="H8" s="1133"/>
    </row>
    <row r="9" spans="2:18" ht="15" customHeight="1" thickBot="1">
      <c r="B9" s="1784" t="str">
        <f>'KEY INPUTS'!D44</f>
        <v>AS  AT  DECEMBER  31, 2019</v>
      </c>
      <c r="C9" s="1783"/>
      <c r="D9" s="1783"/>
      <c r="E9" s="1783"/>
      <c r="F9" s="1783"/>
      <c r="G9" s="1783"/>
      <c r="H9" s="1783"/>
    </row>
    <row r="10" spans="2:18" ht="36" customHeight="1" thickTop="1" thickBot="1">
      <c r="B10" s="1785" t="s">
        <v>124</v>
      </c>
      <c r="C10" s="1785"/>
      <c r="D10" s="1785"/>
      <c r="E10" s="1785"/>
      <c r="F10" s="1786"/>
      <c r="G10" s="1134" t="s">
        <v>125</v>
      </c>
      <c r="H10" s="1135" t="s">
        <v>126</v>
      </c>
    </row>
    <row r="11" spans="2:18" ht="21" customHeight="1" thickTop="1">
      <c r="B11" s="1136" t="s">
        <v>459</v>
      </c>
      <c r="C11" s="1136"/>
      <c r="D11" s="1136"/>
      <c r="E11" s="1136"/>
      <c r="F11" s="1136"/>
      <c r="G11" s="650"/>
      <c r="H11" s="651"/>
      <c r="L11" s="322"/>
      <c r="M11" s="322"/>
      <c r="N11" s="322"/>
      <c r="O11" s="322"/>
      <c r="P11" s="322"/>
      <c r="Q11" s="322"/>
      <c r="R11" s="322"/>
    </row>
    <row r="12" spans="2:18" ht="21" customHeight="1">
      <c r="B12" s="648"/>
      <c r="C12" s="648"/>
      <c r="D12" s="648"/>
      <c r="E12" s="648"/>
      <c r="F12" s="648"/>
      <c r="G12" s="601"/>
      <c r="H12" s="609"/>
      <c r="L12" s="322"/>
      <c r="M12" s="322"/>
      <c r="N12" s="322"/>
      <c r="O12" s="322"/>
      <c r="P12" s="322"/>
      <c r="Q12" s="322"/>
      <c r="R12" s="322"/>
    </row>
    <row r="13" spans="2:18" ht="21" customHeight="1">
      <c r="B13" s="648"/>
      <c r="C13" s="648"/>
      <c r="D13" s="648"/>
      <c r="E13" s="648"/>
      <c r="F13" s="648"/>
      <c r="G13" s="601"/>
      <c r="H13" s="609"/>
      <c r="L13" s="377"/>
      <c r="M13" s="322"/>
      <c r="N13" s="322"/>
      <c r="O13" s="322"/>
      <c r="P13" s="322"/>
      <c r="Q13" s="322"/>
      <c r="R13" s="322"/>
    </row>
    <row r="14" spans="2:18" ht="21" customHeight="1">
      <c r="B14" s="648"/>
      <c r="C14" s="648"/>
      <c r="D14" s="648"/>
      <c r="E14" s="648"/>
      <c r="F14" s="648"/>
      <c r="G14" s="601"/>
      <c r="H14" s="609"/>
      <c r="L14" s="322"/>
      <c r="M14" s="322"/>
      <c r="N14" s="322"/>
      <c r="O14" s="322"/>
      <c r="P14" s="322"/>
      <c r="Q14" s="322"/>
      <c r="R14" s="322"/>
    </row>
    <row r="15" spans="2:18" ht="21" customHeight="1">
      <c r="B15" s="648"/>
      <c r="C15" s="648"/>
      <c r="D15" s="648"/>
      <c r="E15" s="648"/>
      <c r="F15" s="648"/>
      <c r="G15" s="601"/>
      <c r="H15" s="609"/>
      <c r="L15" s="322"/>
      <c r="M15" s="322"/>
      <c r="N15" s="322"/>
      <c r="O15" s="322"/>
      <c r="P15" s="322"/>
      <c r="Q15" s="322"/>
      <c r="R15" s="322"/>
    </row>
    <row r="16" spans="2:18" ht="21" customHeight="1">
      <c r="B16" s="648"/>
      <c r="C16" s="648"/>
      <c r="D16" s="648"/>
      <c r="E16" s="648"/>
      <c r="F16" s="648"/>
      <c r="G16" s="601"/>
      <c r="H16" s="609"/>
      <c r="L16" s="322"/>
      <c r="M16" s="322"/>
      <c r="N16" s="322"/>
      <c r="O16" s="322"/>
      <c r="P16" s="322"/>
      <c r="Q16" s="322"/>
      <c r="R16" s="322"/>
    </row>
    <row r="17" spans="2:18" ht="21" customHeight="1">
      <c r="B17" s="648"/>
      <c r="C17" s="648"/>
      <c r="D17" s="648"/>
      <c r="E17" s="648"/>
      <c r="F17" s="648"/>
      <c r="G17" s="601"/>
      <c r="H17" s="609"/>
      <c r="L17" s="322"/>
      <c r="M17" s="322"/>
      <c r="N17" s="322"/>
      <c r="O17" s="322"/>
      <c r="P17" s="322"/>
      <c r="Q17" s="322"/>
      <c r="R17" s="322"/>
    </row>
    <row r="18" spans="2:18" ht="21" customHeight="1">
      <c r="B18" s="648"/>
      <c r="C18" s="648"/>
      <c r="D18" s="648"/>
      <c r="E18" s="648"/>
      <c r="F18" s="648"/>
      <c r="G18" s="601"/>
      <c r="H18" s="609"/>
      <c r="L18" s="322"/>
      <c r="M18" s="322"/>
      <c r="N18" s="322"/>
      <c r="O18" s="322"/>
      <c r="P18" s="322"/>
      <c r="Q18" s="322"/>
      <c r="R18" s="322"/>
    </row>
    <row r="19" spans="2:18" ht="21" customHeight="1">
      <c r="B19" s="648"/>
      <c r="C19" s="648"/>
      <c r="D19" s="648"/>
      <c r="E19" s="648"/>
      <c r="F19" s="648"/>
      <c r="G19" s="601"/>
      <c r="H19" s="609"/>
      <c r="L19" s="322"/>
      <c r="M19" s="322"/>
      <c r="N19" s="322"/>
      <c r="O19" s="322"/>
      <c r="P19" s="322"/>
      <c r="Q19" s="322"/>
      <c r="R19" s="322"/>
    </row>
    <row r="20" spans="2:18" ht="21" customHeight="1">
      <c r="B20" s="648"/>
      <c r="C20" s="648"/>
      <c r="D20" s="648"/>
      <c r="E20" s="648"/>
      <c r="F20" s="648"/>
      <c r="G20" s="601"/>
      <c r="H20" s="609"/>
      <c r="L20" s="322"/>
      <c r="M20" s="322"/>
      <c r="N20" s="322"/>
      <c r="O20" s="322"/>
      <c r="P20" s="322"/>
      <c r="Q20" s="322"/>
      <c r="R20" s="322"/>
    </row>
    <row r="21" spans="2:18" ht="21" customHeight="1">
      <c r="B21" s="648"/>
      <c r="C21" s="648"/>
      <c r="D21" s="648"/>
      <c r="E21" s="648"/>
      <c r="F21" s="648"/>
      <c r="G21" s="601"/>
      <c r="H21" s="609"/>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L23" s="322"/>
      <c r="M23" s="322"/>
      <c r="N23" s="322"/>
      <c r="O23" s="322"/>
      <c r="P23" s="322"/>
      <c r="Q23" s="322"/>
      <c r="R23" s="322"/>
    </row>
    <row r="24" spans="2:18" ht="21" customHeight="1">
      <c r="B24" s="648"/>
      <c r="C24" s="648"/>
      <c r="D24" s="648"/>
      <c r="E24" s="648"/>
      <c r="F24" s="648"/>
      <c r="G24" s="601"/>
      <c r="H24" s="60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48"/>
      <c r="C26" s="648"/>
      <c r="D26" s="648"/>
      <c r="E26" s="648"/>
      <c r="F26" s="648"/>
      <c r="G26" s="601"/>
      <c r="H26" s="609"/>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648"/>
      <c r="C30" s="648"/>
      <c r="D30" s="648"/>
      <c r="E30" s="648"/>
      <c r="F30" s="648"/>
      <c r="G30" s="601"/>
      <c r="H30" s="609"/>
    </row>
    <row r="31" spans="2:18" ht="21" customHeight="1">
      <c r="B31" s="648"/>
      <c r="C31" s="648"/>
      <c r="D31" s="648"/>
      <c r="E31" s="648"/>
      <c r="F31" s="648"/>
      <c r="G31" s="601"/>
      <c r="H31" s="609"/>
    </row>
    <row r="32" spans="2:18" ht="21" customHeight="1">
      <c r="B32" s="648"/>
      <c r="C32" s="648"/>
      <c r="D32" s="648"/>
      <c r="E32" s="648"/>
      <c r="F32" s="648"/>
      <c r="G32" s="601"/>
      <c r="H32" s="609"/>
    </row>
    <row r="33" spans="2:8" ht="21" customHeight="1">
      <c r="B33" s="648"/>
      <c r="C33" s="648"/>
      <c r="D33" s="648"/>
      <c r="E33" s="648"/>
      <c r="F33" s="648"/>
      <c r="G33" s="601"/>
      <c r="H33" s="609"/>
    </row>
    <row r="34" spans="2:8" ht="21" customHeight="1">
      <c r="B34" s="648"/>
      <c r="C34" s="648"/>
      <c r="D34" s="648"/>
      <c r="E34" s="648"/>
      <c r="F34" s="648"/>
      <c r="G34" s="601"/>
      <c r="H34" s="609"/>
    </row>
    <row r="35" spans="2:8" ht="21" customHeight="1">
      <c r="B35" s="648"/>
      <c r="C35" s="648"/>
      <c r="D35" s="648"/>
      <c r="E35" s="648"/>
      <c r="F35" s="648"/>
      <c r="G35" s="601"/>
      <c r="H35" s="609"/>
    </row>
    <row r="36" spans="2:8" ht="21" customHeight="1">
      <c r="B36" s="648"/>
      <c r="C36" s="648"/>
      <c r="D36" s="648"/>
      <c r="E36" s="648"/>
      <c r="F36" s="648"/>
      <c r="G36" s="601"/>
      <c r="H36" s="609"/>
    </row>
    <row r="37" spans="2:8" ht="21" customHeight="1">
      <c r="B37" s="648"/>
      <c r="C37" s="648"/>
      <c r="D37" s="648"/>
      <c r="E37" s="648"/>
      <c r="F37" s="648"/>
      <c r="G37" s="601"/>
      <c r="H37" s="609"/>
    </row>
    <row r="38" spans="2:8" ht="21" customHeight="1">
      <c r="B38" s="1137" t="s">
        <v>3481</v>
      </c>
      <c r="C38" s="1137"/>
      <c r="D38" s="1137"/>
      <c r="E38" s="1137"/>
      <c r="F38" s="1137"/>
      <c r="G38" s="601"/>
      <c r="H38" s="1126">
        <f>+'51-Utility4'!G23</f>
        <v>0</v>
      </c>
    </row>
    <row r="39" spans="2:8" ht="21" customHeight="1">
      <c r="B39" s="1137" t="s">
        <v>3482</v>
      </c>
      <c r="C39" s="1137"/>
      <c r="D39" s="1137"/>
      <c r="E39" s="1137"/>
      <c r="F39" s="1137"/>
      <c r="G39" s="601"/>
      <c r="H39" s="1126">
        <f>+'49-Utility4'!G11</f>
        <v>0</v>
      </c>
    </row>
    <row r="40" spans="2:8" ht="21" customHeight="1">
      <c r="B40" s="1137" t="s">
        <v>999</v>
      </c>
      <c r="C40" s="1137"/>
      <c r="D40" s="1137"/>
      <c r="E40" s="1137"/>
      <c r="F40" s="1137"/>
      <c r="G40" s="601"/>
      <c r="H40" s="1126">
        <f>'43-Utility4'!L20</f>
        <v>0</v>
      </c>
    </row>
    <row r="41" spans="2:8" ht="21" customHeight="1">
      <c r="B41" s="648"/>
      <c r="C41" s="648"/>
      <c r="D41" s="648"/>
      <c r="E41" s="648"/>
      <c r="F41" s="648"/>
      <c r="G41" s="601"/>
      <c r="H41" s="609"/>
    </row>
    <row r="42" spans="2:8" ht="21" customHeight="1">
      <c r="B42" s="648"/>
      <c r="C42" s="648"/>
      <c r="D42" s="648"/>
      <c r="E42" s="648"/>
      <c r="F42" s="648"/>
      <c r="G42" s="601"/>
      <c r="H42" s="609"/>
    </row>
    <row r="43" spans="2:8" ht="21" customHeight="1">
      <c r="B43" s="1139"/>
      <c r="C43" s="1139"/>
      <c r="D43" s="1139"/>
      <c r="E43" s="1139"/>
      <c r="F43" s="1139"/>
      <c r="G43" s="1105">
        <f>SUM(G11:G42)</f>
        <v>0</v>
      </c>
      <c r="H43" s="1140">
        <f>SUM(H11:H42)</f>
        <v>0</v>
      </c>
    </row>
    <row r="44" spans="2:8">
      <c r="B44" s="1787" t="s">
        <v>127</v>
      </c>
      <c r="C44" s="1787"/>
      <c r="D44" s="1787"/>
      <c r="E44" s="1787"/>
      <c r="F44" s="1787"/>
      <c r="G44" s="1787"/>
      <c r="H44" s="1787"/>
    </row>
    <row r="45" spans="2:8">
      <c r="B45" s="1141"/>
      <c r="C45" s="1141"/>
      <c r="D45" s="1141"/>
      <c r="E45" s="1141"/>
      <c r="F45" s="1141"/>
      <c r="G45" s="1141"/>
      <c r="H45" s="1141"/>
    </row>
    <row r="46" spans="2:8">
      <c r="B46" s="1141"/>
      <c r="C46" s="1141"/>
      <c r="D46" s="1141"/>
      <c r="E46" s="1141"/>
      <c r="F46" s="1141"/>
      <c r="G46" s="1141"/>
      <c r="H46" s="1141"/>
    </row>
    <row r="47" spans="2:8">
      <c r="B47" s="1141"/>
      <c r="C47" s="1141"/>
      <c r="D47" s="1141"/>
      <c r="E47" s="1141"/>
      <c r="F47" s="1141"/>
      <c r="G47" s="1141"/>
      <c r="H47" s="1141"/>
    </row>
    <row r="48" spans="2:8">
      <c r="B48" s="1141"/>
      <c r="C48" s="1141"/>
      <c r="D48" s="1141"/>
      <c r="E48" s="1141"/>
      <c r="F48" s="1141"/>
      <c r="G48" s="1141"/>
      <c r="H48" s="1141"/>
    </row>
    <row r="49" spans="2:8" ht="13.8">
      <c r="B49" s="1780" t="s">
        <v>3415</v>
      </c>
      <c r="C49" s="1780"/>
      <c r="D49" s="1780"/>
      <c r="E49" s="1780"/>
      <c r="F49" s="1780"/>
      <c r="G49" s="1780"/>
      <c r="H49" s="1780"/>
    </row>
  </sheetData>
  <sheetProtection algorithmName="SHA-512" hashValue="wKYq4KhwWMM9yKjL6DB+sXb7BPM69ghujeqyhaOLGUUPzFYg7DeBlESWzHv6mcAeSI8i/AhxNwQjObv4PHhsqA==" saltValue="hEMpPHxiirz+o6C+P6ocsA==" spinCount="100000" sheet="1" objects="1" scenarios="1"/>
  <customSheetViews>
    <customSheetView guid="{AC653BD0-46E3-42CB-9C76-32121A57B65A}" topLeftCell="A22">
      <selection activeCell="H38" sqref="H38"/>
      <pageMargins left="0.25" right="0.25" top="0.5" bottom="0.5" header="0.25" footer="0.25"/>
      <pageSetup paperSize="5" orientation="portrait" r:id="rId1"/>
      <headerFooter alignWithMargins="0"/>
    </customSheetView>
    <customSheetView guid="{B165479B-DC25-403C-9595-F1A88A4AA9A2}" topLeftCell="A22">
      <selection activeCell="H38" sqref="H38"/>
      <pageMargins left="0.25" right="0.25" top="0.5" bottom="0.5" header="0.25" footer="0.25"/>
      <pageSetup paperSize="5" orientation="portrait" r:id="rId2"/>
      <headerFooter alignWithMargins="0"/>
    </customSheetView>
    <customSheetView guid="{A64E4C9E-A3DA-4AAA-8607-F524450B9436}" topLeftCell="A22">
      <selection activeCell="H38" sqref="H38"/>
      <pageMargins left="0.25" right="0.25" top="0.5" bottom="0.5" header="0.25" footer="0.25"/>
      <pageSetup paperSize="5" orientation="portrait" r:id="rId3"/>
      <headerFooter alignWithMargins="0"/>
    </customSheetView>
    <customSheetView guid="{AB4FBD91-4533-473A-9702-569FF6402073}" topLeftCell="A22">
      <selection activeCell="H38" sqref="H38"/>
      <pageMargins left="0.25" right="0.25" top="0.5" bottom="0.5" header="0.25" footer="0.25"/>
      <pageSetup paperSize="5" orientation="portrait" r:id="rId4"/>
      <headerFooter alignWithMargins="0"/>
    </customSheetView>
  </customSheetViews>
  <mergeCells count="9">
    <mergeCell ref="B10:F10"/>
    <mergeCell ref="B44:H44"/>
    <mergeCell ref="B49:H49"/>
    <mergeCell ref="B3:H3"/>
    <mergeCell ref="B4:H4"/>
    <mergeCell ref="B5:H5"/>
    <mergeCell ref="B6:H6"/>
    <mergeCell ref="B7:H7"/>
    <mergeCell ref="B9:H9"/>
  </mergeCells>
  <pageMargins left="0.25" right="0.25" top="0.5" bottom="0.5" header="0.25" footer="0.25"/>
  <pageSetup paperSize="5" orientation="portrait" r:id="rId5"/>
  <headerFooter alignWithMargins="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8">
    <tabColor theme="2" tint="-0.249977111117893"/>
  </sheetPr>
  <dimension ref="A2:V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0.6640625" style="331" customWidth="1"/>
    <col min="5" max="12" width="15.6640625" style="331" customWidth="1"/>
    <col min="13" max="16384" width="9.109375" style="331"/>
  </cols>
  <sheetData>
    <row r="2" spans="1:22" ht="20.399999999999999">
      <c r="B2" s="1788" t="str">
        <f>"ANALYSIS  OF "&amp;UPPER('KEY INPUTS'!D55)&amp;" UTILITY  ASSESSMENT  TRUST  CASH  AND  INVESTMENTS"</f>
        <v>ANALYSIS  OF  UTILITY  ASSESSMENT  TRUST  CASH  AND  INVESTMENTS</v>
      </c>
      <c r="C2" s="1788"/>
      <c r="D2" s="1788"/>
      <c r="E2" s="1788"/>
      <c r="F2" s="1788"/>
      <c r="G2" s="1788"/>
      <c r="H2" s="1788"/>
      <c r="I2" s="1788"/>
      <c r="J2" s="1788"/>
      <c r="K2" s="1788"/>
      <c r="L2" s="1788"/>
    </row>
    <row r="3" spans="1:22" ht="21" thickBot="1">
      <c r="B3" s="1788" t="s">
        <v>1054</v>
      </c>
      <c r="C3" s="1788"/>
      <c r="D3" s="1788"/>
      <c r="E3" s="1788"/>
      <c r="F3" s="1788"/>
      <c r="G3" s="1788"/>
      <c r="H3" s="1788"/>
      <c r="I3" s="1788"/>
      <c r="J3" s="1788"/>
      <c r="K3" s="1788"/>
      <c r="L3" s="1788"/>
    </row>
    <row r="4" spans="1:22" ht="13.8" thickTop="1">
      <c r="B4" s="1142"/>
      <c r="C4" s="1142"/>
      <c r="D4" s="1142"/>
      <c r="E4" s="1143" t="s">
        <v>670</v>
      </c>
      <c r="F4" s="1142"/>
      <c r="G4" s="1142"/>
      <c r="H4" s="1142"/>
      <c r="I4" s="1142"/>
      <c r="J4" s="1144"/>
      <c r="K4" s="1142"/>
      <c r="L4" s="1145"/>
    </row>
    <row r="5" spans="1:22" ht="15.6">
      <c r="B5" s="1146"/>
      <c r="C5" s="1146" t="s">
        <v>678</v>
      </c>
      <c r="D5" s="1146"/>
      <c r="E5" s="1147" t="s">
        <v>671</v>
      </c>
      <c r="F5" s="1789" t="s">
        <v>672</v>
      </c>
      <c r="G5" s="1790"/>
      <c r="H5" s="1790"/>
      <c r="I5" s="1791"/>
      <c r="J5" s="1148"/>
      <c r="K5" s="1146"/>
      <c r="L5" s="1149" t="s">
        <v>671</v>
      </c>
    </row>
    <row r="6" spans="1:22">
      <c r="B6" s="1146"/>
      <c r="C6" s="1146" t="s">
        <v>679</v>
      </c>
      <c r="D6" s="1146"/>
      <c r="E6" s="1150" t="str">
        <f>'KEY INPUTS'!D45</f>
        <v>Dec. 31, 2018</v>
      </c>
      <c r="F6" s="1147" t="s">
        <v>673</v>
      </c>
      <c r="G6" s="1147" t="s">
        <v>320</v>
      </c>
      <c r="H6" s="1148"/>
      <c r="I6" s="1148"/>
      <c r="J6" s="1148"/>
      <c r="K6" s="1151" t="s">
        <v>677</v>
      </c>
      <c r="L6" s="1152" t="str">
        <f>'KEY INPUTS'!D46</f>
        <v>Dec. 31, 2019</v>
      </c>
    </row>
    <row r="7" spans="1:22" ht="13.8" thickBot="1">
      <c r="B7" s="1153"/>
      <c r="C7" s="1153"/>
      <c r="D7" s="1153"/>
      <c r="E7" s="1154"/>
      <c r="F7" s="1155" t="s">
        <v>674</v>
      </c>
      <c r="G7" s="1155" t="s">
        <v>676</v>
      </c>
      <c r="H7" s="1154"/>
      <c r="I7" s="1154"/>
      <c r="J7" s="1154"/>
      <c r="K7" s="1156"/>
      <c r="L7" s="1157"/>
    </row>
    <row r="8" spans="1:22" ht="21" customHeight="1" thickTop="1">
      <c r="B8" s="1158" t="s">
        <v>781</v>
      </c>
      <c r="C8" s="1158"/>
      <c r="D8" s="1159"/>
      <c r="E8" s="1088" t="s">
        <v>787</v>
      </c>
      <c r="F8" s="1088" t="s">
        <v>787</v>
      </c>
      <c r="G8" s="1088" t="s">
        <v>787</v>
      </c>
      <c r="H8" s="1088" t="s">
        <v>787</v>
      </c>
      <c r="I8" s="1088" t="s">
        <v>787</v>
      </c>
      <c r="J8" s="1088" t="s">
        <v>787</v>
      </c>
      <c r="K8" s="1088" t="s">
        <v>787</v>
      </c>
      <c r="L8" s="867" t="s">
        <v>787</v>
      </c>
      <c r="P8" s="322"/>
      <c r="Q8" s="322"/>
      <c r="R8" s="322"/>
      <c r="S8" s="322"/>
      <c r="T8" s="322"/>
      <c r="U8" s="322"/>
      <c r="V8" s="322"/>
    </row>
    <row r="9" spans="1:22" ht="21" customHeight="1">
      <c r="B9" s="648"/>
      <c r="C9" s="648"/>
      <c r="D9" s="652"/>
      <c r="E9" s="601"/>
      <c r="F9" s="601"/>
      <c r="G9" s="601"/>
      <c r="H9" s="601"/>
      <c r="I9" s="601"/>
      <c r="J9" s="601"/>
      <c r="K9" s="601"/>
      <c r="L9" s="1081">
        <f>+E9+F9+G9+H9+I9+J9-K9</f>
        <v>0</v>
      </c>
      <c r="P9" s="322"/>
      <c r="Q9" s="322"/>
      <c r="R9" s="322"/>
      <c r="S9" s="322"/>
      <c r="T9" s="322"/>
      <c r="U9" s="322"/>
      <c r="V9" s="322"/>
    </row>
    <row r="10" spans="1:22" ht="21" customHeight="1">
      <c r="B10" s="648"/>
      <c r="C10" s="648"/>
      <c r="D10" s="652"/>
      <c r="E10" s="601"/>
      <c r="F10" s="601"/>
      <c r="G10" s="601"/>
      <c r="H10" s="601"/>
      <c r="I10" s="601"/>
      <c r="J10" s="601"/>
      <c r="K10" s="601"/>
      <c r="L10" s="1081">
        <f t="shared" ref="L10:L25" si="0">+E10+F10+G10+H10+I10+J10-K10</f>
        <v>0</v>
      </c>
      <c r="P10" s="377"/>
      <c r="Q10" s="322"/>
      <c r="R10" s="322"/>
      <c r="S10" s="322"/>
      <c r="T10" s="322"/>
      <c r="U10" s="322"/>
      <c r="V10" s="322"/>
    </row>
    <row r="11" spans="1:22" ht="21" customHeight="1">
      <c r="B11" s="648"/>
      <c r="C11" s="648"/>
      <c r="D11" s="652"/>
      <c r="E11" s="601"/>
      <c r="F11" s="601"/>
      <c r="G11" s="601"/>
      <c r="H11" s="601"/>
      <c r="I11" s="601"/>
      <c r="J11" s="601"/>
      <c r="K11" s="601"/>
      <c r="L11" s="1081">
        <f t="shared" si="0"/>
        <v>0</v>
      </c>
      <c r="P11" s="322"/>
      <c r="Q11" s="322"/>
      <c r="R11" s="322"/>
      <c r="S11" s="322"/>
      <c r="T11" s="322"/>
      <c r="U11" s="322"/>
      <c r="V11" s="322"/>
    </row>
    <row r="12" spans="1:22" ht="21" customHeight="1">
      <c r="B12" s="648"/>
      <c r="C12" s="648"/>
      <c r="D12" s="652"/>
      <c r="E12" s="601"/>
      <c r="F12" s="601"/>
      <c r="G12" s="601"/>
      <c r="H12" s="601"/>
      <c r="I12" s="601"/>
      <c r="J12" s="601"/>
      <c r="K12" s="601"/>
      <c r="L12" s="1081">
        <f t="shared" si="0"/>
        <v>0</v>
      </c>
      <c r="P12" s="322"/>
      <c r="Q12" s="322"/>
      <c r="R12" s="322"/>
      <c r="S12" s="322"/>
      <c r="T12" s="322"/>
      <c r="U12" s="322"/>
      <c r="V12" s="322"/>
    </row>
    <row r="13" spans="1:22" ht="21" customHeight="1">
      <c r="B13" s="648"/>
      <c r="C13" s="648"/>
      <c r="D13" s="652"/>
      <c r="E13" s="604"/>
      <c r="F13" s="601"/>
      <c r="G13" s="601"/>
      <c r="H13" s="601"/>
      <c r="I13" s="601"/>
      <c r="J13" s="601"/>
      <c r="K13" s="601"/>
      <c r="L13" s="1081">
        <f t="shared" si="0"/>
        <v>0</v>
      </c>
      <c r="P13" s="322"/>
      <c r="Q13" s="322"/>
      <c r="R13" s="322"/>
      <c r="S13" s="322"/>
      <c r="T13" s="322"/>
      <c r="U13" s="322"/>
      <c r="V13" s="322"/>
    </row>
    <row r="14" spans="1:22" ht="21" customHeight="1">
      <c r="B14" s="1139" t="s">
        <v>782</v>
      </c>
      <c r="C14" s="1139"/>
      <c r="D14" s="1165"/>
      <c r="E14" s="973" t="s">
        <v>787</v>
      </c>
      <c r="F14" s="973" t="s">
        <v>787</v>
      </c>
      <c r="G14" s="973" t="s">
        <v>787</v>
      </c>
      <c r="H14" s="973" t="s">
        <v>787</v>
      </c>
      <c r="I14" s="973" t="s">
        <v>787</v>
      </c>
      <c r="J14" s="973" t="s">
        <v>787</v>
      </c>
      <c r="K14" s="973" t="s">
        <v>787</v>
      </c>
      <c r="L14" s="869" t="s">
        <v>787</v>
      </c>
      <c r="P14" s="322"/>
      <c r="Q14" s="322"/>
      <c r="R14" s="322"/>
      <c r="S14" s="322"/>
      <c r="T14" s="322"/>
      <c r="U14" s="322"/>
      <c r="V14" s="322"/>
    </row>
    <row r="15" spans="1:22" ht="21" customHeight="1">
      <c r="A15" s="1792" t="s">
        <v>3416</v>
      </c>
      <c r="B15" s="648"/>
      <c r="C15" s="648"/>
      <c r="D15" s="652"/>
      <c r="E15" s="601"/>
      <c r="F15" s="601"/>
      <c r="G15" s="601"/>
      <c r="H15" s="601"/>
      <c r="I15" s="601"/>
      <c r="J15" s="601"/>
      <c r="K15" s="601"/>
      <c r="L15" s="1081">
        <f t="shared" si="0"/>
        <v>0</v>
      </c>
      <c r="P15" s="322"/>
      <c r="Q15" s="322"/>
      <c r="R15" s="322"/>
      <c r="S15" s="322"/>
      <c r="T15" s="322"/>
      <c r="U15" s="322"/>
      <c r="V15" s="322"/>
    </row>
    <row r="16" spans="1:22" ht="21" customHeight="1">
      <c r="A16" s="1792"/>
      <c r="B16" s="648"/>
      <c r="C16" s="648"/>
      <c r="D16" s="652"/>
      <c r="E16" s="601"/>
      <c r="F16" s="601"/>
      <c r="G16" s="601"/>
      <c r="H16" s="601"/>
      <c r="I16" s="601"/>
      <c r="J16" s="601"/>
      <c r="K16" s="601"/>
      <c r="L16" s="1081">
        <f t="shared" si="0"/>
        <v>0</v>
      </c>
      <c r="P16" s="322"/>
      <c r="Q16" s="322"/>
      <c r="R16" s="322"/>
      <c r="S16" s="322"/>
      <c r="T16" s="322"/>
      <c r="U16" s="322"/>
      <c r="V16" s="322"/>
    </row>
    <row r="17" spans="1:22" ht="21" customHeight="1">
      <c r="A17" s="1792"/>
      <c r="B17" s="648"/>
      <c r="C17" s="648"/>
      <c r="D17" s="652"/>
      <c r="E17" s="601"/>
      <c r="F17" s="601"/>
      <c r="G17" s="601"/>
      <c r="H17" s="601"/>
      <c r="I17" s="601"/>
      <c r="J17" s="601"/>
      <c r="K17" s="601"/>
      <c r="L17" s="1081">
        <f t="shared" si="0"/>
        <v>0</v>
      </c>
      <c r="P17" s="322"/>
      <c r="Q17" s="322"/>
      <c r="R17" s="322"/>
      <c r="S17" s="322"/>
      <c r="T17" s="322"/>
      <c r="U17" s="322"/>
      <c r="V17" s="322"/>
    </row>
    <row r="18" spans="1:22" ht="21" customHeight="1">
      <c r="B18" s="648"/>
      <c r="C18" s="648"/>
      <c r="D18" s="652"/>
      <c r="E18" s="601"/>
      <c r="F18" s="601"/>
      <c r="G18" s="601"/>
      <c r="H18" s="601"/>
      <c r="I18" s="601"/>
      <c r="J18" s="601"/>
      <c r="K18" s="601"/>
      <c r="L18" s="1081">
        <f t="shared" si="0"/>
        <v>0</v>
      </c>
      <c r="P18" s="322"/>
      <c r="Q18" s="322"/>
      <c r="R18" s="322"/>
      <c r="S18" s="322"/>
      <c r="T18" s="322"/>
      <c r="U18" s="322"/>
      <c r="V18" s="322"/>
    </row>
    <row r="19" spans="1:22" ht="21" customHeight="1">
      <c r="B19" s="1139" t="s">
        <v>783</v>
      </c>
      <c r="C19" s="1139"/>
      <c r="D19" s="1165"/>
      <c r="E19" s="601"/>
      <c r="F19" s="601"/>
      <c r="G19" s="601"/>
      <c r="H19" s="601"/>
      <c r="I19" s="601"/>
      <c r="J19" s="601"/>
      <c r="K19" s="601"/>
      <c r="L19" s="1081">
        <f t="shared" si="0"/>
        <v>0</v>
      </c>
      <c r="P19" s="322"/>
      <c r="Q19" s="322"/>
      <c r="R19" s="322"/>
      <c r="S19" s="322"/>
      <c r="T19" s="322"/>
      <c r="U19" s="322"/>
      <c r="V19" s="322"/>
    </row>
    <row r="20" spans="1:22" ht="21" customHeight="1">
      <c r="B20" s="1139" t="s">
        <v>784</v>
      </c>
      <c r="C20" s="1139"/>
      <c r="D20" s="1165"/>
      <c r="E20" s="601"/>
      <c r="F20" s="601"/>
      <c r="G20" s="601"/>
      <c r="H20" s="601"/>
      <c r="I20" s="601"/>
      <c r="J20" s="601"/>
      <c r="K20" s="601"/>
      <c r="L20" s="1081">
        <f t="shared" si="0"/>
        <v>0</v>
      </c>
      <c r="P20" s="322"/>
      <c r="Q20" s="322"/>
      <c r="R20" s="322"/>
      <c r="S20" s="322"/>
      <c r="T20" s="322"/>
      <c r="U20" s="322"/>
      <c r="V20" s="322"/>
    </row>
    <row r="21" spans="1:22" ht="21" customHeight="1">
      <c r="B21" s="1139" t="s">
        <v>321</v>
      </c>
      <c r="C21" s="1139"/>
      <c r="D21" s="1165"/>
      <c r="E21" s="973" t="s">
        <v>787</v>
      </c>
      <c r="F21" s="973" t="s">
        <v>787</v>
      </c>
      <c r="G21" s="973" t="s">
        <v>787</v>
      </c>
      <c r="H21" s="973" t="s">
        <v>787</v>
      </c>
      <c r="I21" s="973" t="s">
        <v>787</v>
      </c>
      <c r="J21" s="973" t="s">
        <v>787</v>
      </c>
      <c r="K21" s="973" t="s">
        <v>787</v>
      </c>
      <c r="L21" s="869" t="s">
        <v>787</v>
      </c>
      <c r="P21" s="322"/>
      <c r="Q21" s="322"/>
      <c r="R21" s="322"/>
      <c r="S21" s="322"/>
      <c r="T21" s="322"/>
      <c r="U21" s="322"/>
      <c r="V21" s="322"/>
    </row>
    <row r="22" spans="1:22" ht="21" customHeight="1">
      <c r="B22" s="648"/>
      <c r="C22" s="648"/>
      <c r="D22" s="652"/>
      <c r="E22" s="601"/>
      <c r="F22" s="601"/>
      <c r="G22" s="601"/>
      <c r="H22" s="601"/>
      <c r="I22" s="601"/>
      <c r="J22" s="601"/>
      <c r="K22" s="601"/>
      <c r="L22" s="1081">
        <f t="shared" si="0"/>
        <v>0</v>
      </c>
      <c r="P22" s="322"/>
      <c r="Q22" s="322"/>
      <c r="R22" s="322"/>
      <c r="S22" s="322"/>
      <c r="T22" s="322"/>
      <c r="U22" s="322"/>
      <c r="V22" s="322"/>
    </row>
    <row r="23" spans="1:22" ht="21" customHeight="1">
      <c r="B23" s="648"/>
      <c r="C23" s="648"/>
      <c r="D23" s="652"/>
      <c r="E23" s="601"/>
      <c r="F23" s="601"/>
      <c r="G23" s="601"/>
      <c r="H23" s="601"/>
      <c r="I23" s="601"/>
      <c r="J23" s="601"/>
      <c r="K23" s="601"/>
      <c r="L23" s="1081">
        <f t="shared" si="0"/>
        <v>0</v>
      </c>
      <c r="P23" s="322"/>
      <c r="Q23" s="322"/>
      <c r="R23" s="322"/>
      <c r="S23" s="322"/>
      <c r="T23" s="322"/>
      <c r="U23" s="322"/>
      <c r="V23" s="322"/>
    </row>
    <row r="24" spans="1:22" ht="21" customHeight="1">
      <c r="B24" s="648"/>
      <c r="C24" s="648"/>
      <c r="D24" s="652"/>
      <c r="E24" s="601"/>
      <c r="F24" s="601"/>
      <c r="G24" s="601"/>
      <c r="H24" s="601"/>
      <c r="I24" s="601"/>
      <c r="J24" s="601"/>
      <c r="K24" s="601"/>
      <c r="L24" s="1081">
        <f t="shared" si="0"/>
        <v>0</v>
      </c>
      <c r="P24" s="322"/>
      <c r="Q24" s="322"/>
      <c r="R24" s="322"/>
      <c r="S24" s="322"/>
      <c r="T24" s="322"/>
      <c r="U24" s="322"/>
      <c r="V24" s="322"/>
    </row>
    <row r="25" spans="1:22" ht="21" customHeight="1" thickBot="1">
      <c r="B25" s="648"/>
      <c r="C25" s="648"/>
      <c r="D25" s="652"/>
      <c r="E25" s="627"/>
      <c r="F25" s="627"/>
      <c r="G25" s="627"/>
      <c r="H25" s="627"/>
      <c r="I25" s="627"/>
      <c r="J25" s="627"/>
      <c r="K25" s="627"/>
      <c r="L25" s="1160">
        <f t="shared" si="0"/>
        <v>0</v>
      </c>
    </row>
    <row r="26" spans="1:22" ht="21" customHeight="1" thickTop="1" thickBot="1">
      <c r="B26" s="1162"/>
      <c r="C26" s="1162"/>
      <c r="D26" s="1163"/>
      <c r="E26" s="1083">
        <f t="shared" ref="E26:K26" si="1">SUM(E9:E25)</f>
        <v>0</v>
      </c>
      <c r="F26" s="1083">
        <f t="shared" si="1"/>
        <v>0</v>
      </c>
      <c r="G26" s="1083">
        <f t="shared" si="1"/>
        <v>0</v>
      </c>
      <c r="H26" s="1083">
        <f t="shared" si="1"/>
        <v>0</v>
      </c>
      <c r="I26" s="1083">
        <f t="shared" si="1"/>
        <v>0</v>
      </c>
      <c r="J26" s="1083">
        <f t="shared" si="1"/>
        <v>0</v>
      </c>
      <c r="K26" s="1083">
        <f t="shared" si="1"/>
        <v>0</v>
      </c>
      <c r="L26" s="1161">
        <f>SUM(L9:L25)</f>
        <v>0</v>
      </c>
    </row>
    <row r="27" spans="1:22" ht="13.8" thickTop="1">
      <c r="B27" s="1164" t="s">
        <v>786</v>
      </c>
      <c r="C27" s="1146"/>
      <c r="D27" s="1146"/>
      <c r="E27" s="1146"/>
      <c r="F27" s="1146"/>
      <c r="G27" s="1146"/>
      <c r="H27" s="1146"/>
      <c r="I27" s="1146"/>
      <c r="J27" s="1146"/>
      <c r="K27" s="1146"/>
      <c r="L27" s="1146"/>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4">
    <mergeCell ref="B2:L2"/>
    <mergeCell ref="B3:L3"/>
    <mergeCell ref="F5:I5"/>
    <mergeCell ref="A15:A17"/>
  </mergeCells>
  <pageMargins left="0.25" right="0.25" top="0.5" bottom="0.5" header="0.25" footer="0.25"/>
  <pageSetup paperSize="5" orientation="landscape" r:id="rId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B2:O52"/>
  <sheetViews>
    <sheetView zoomScaleNormal="100" workbookViewId="0">
      <selection activeCell="B1" sqref="B1"/>
    </sheetView>
  </sheetViews>
  <sheetFormatPr defaultColWidth="9.109375" defaultRowHeight="13.2"/>
  <cols>
    <col min="1" max="3" width="4.6640625" style="322" customWidth="1"/>
    <col min="4" max="4" width="9.109375" style="322"/>
    <col min="5" max="5" width="11.88671875" style="322" customWidth="1"/>
    <col min="6" max="6" width="1.6640625" style="322" customWidth="1"/>
    <col min="7" max="7" width="14.6640625" style="322" customWidth="1"/>
    <col min="8" max="8" width="1.6640625" style="322" customWidth="1"/>
    <col min="9" max="9" width="14.6640625" style="322" customWidth="1"/>
    <col min="10" max="10" width="1.6640625" style="322" customWidth="1"/>
    <col min="11" max="11" width="14.6640625" style="322" customWidth="1"/>
    <col min="12" max="12" width="1.6640625" style="322" customWidth="1"/>
    <col min="13" max="13" width="14.6640625" style="322" customWidth="1"/>
    <col min="14" max="14" width="10.88671875" style="322" bestFit="1" customWidth="1"/>
    <col min="15" max="15" width="13.5546875" style="322" bestFit="1" customWidth="1"/>
    <col min="16" max="16384" width="9.109375" style="322"/>
  </cols>
  <sheetData>
    <row r="2" spans="2:15" ht="20.399999999999999">
      <c r="B2" s="1508" t="s">
        <v>3640</v>
      </c>
      <c r="C2" s="1508"/>
      <c r="D2" s="1508"/>
      <c r="E2" s="1508"/>
      <c r="F2" s="1508"/>
      <c r="G2" s="1508"/>
      <c r="H2" s="1508"/>
      <c r="I2" s="1508"/>
      <c r="J2" s="1508"/>
      <c r="K2" s="1508"/>
      <c r="L2" s="1508"/>
      <c r="M2" s="1508"/>
    </row>
    <row r="3" spans="2:15">
      <c r="B3" s="1511"/>
      <c r="C3" s="1511"/>
      <c r="D3" s="1511"/>
      <c r="E3" s="1511"/>
      <c r="F3" s="1511"/>
      <c r="G3" s="1511"/>
      <c r="H3" s="1511"/>
      <c r="I3" s="1511"/>
      <c r="J3" s="1511"/>
      <c r="K3" s="1511"/>
      <c r="L3" s="1511"/>
      <c r="M3" s="1511"/>
    </row>
    <row r="5" spans="2:15">
      <c r="B5" s="1572"/>
      <c r="C5" s="1572"/>
      <c r="D5" s="1572"/>
      <c r="G5" s="733" t="s">
        <v>533</v>
      </c>
      <c r="I5" s="735"/>
      <c r="K5" s="735"/>
    </row>
    <row r="6" spans="2:15">
      <c r="B6" s="1572"/>
      <c r="C6" s="1572"/>
      <c r="D6" s="1572"/>
      <c r="G6" s="297" t="str">
        <f>'KEY INPUTS'!D45</f>
        <v>Dec. 31, 2018</v>
      </c>
      <c r="I6" s="733"/>
      <c r="K6" s="733"/>
      <c r="M6" s="733" t="s">
        <v>671</v>
      </c>
    </row>
    <row r="7" spans="2:15">
      <c r="G7" s="733" t="s">
        <v>552</v>
      </c>
      <c r="I7" s="733"/>
      <c r="K7" s="733"/>
      <c r="M7" s="733" t="s">
        <v>556</v>
      </c>
    </row>
    <row r="8" spans="2:15">
      <c r="B8" s="1572" t="s">
        <v>532</v>
      </c>
      <c r="C8" s="1572"/>
      <c r="D8" s="1572"/>
      <c r="G8" s="735" t="s">
        <v>551</v>
      </c>
      <c r="I8" s="735" t="s">
        <v>546</v>
      </c>
      <c r="K8" s="735" t="s">
        <v>677</v>
      </c>
      <c r="M8" s="294" t="str">
        <f>'KEY INPUTS'!D46</f>
        <v>Dec. 31, 2019</v>
      </c>
    </row>
    <row r="9" spans="2:15">
      <c r="B9" s="735"/>
      <c r="C9" s="735"/>
      <c r="D9" s="735"/>
      <c r="G9" s="250"/>
      <c r="I9" s="735"/>
      <c r="K9" s="735"/>
      <c r="M9" s="133"/>
    </row>
    <row r="10" spans="2:15" ht="21" customHeight="1">
      <c r="B10" s="856" t="s">
        <v>3539</v>
      </c>
      <c r="C10" s="857"/>
      <c r="D10" s="857"/>
      <c r="E10" s="857"/>
      <c r="F10" s="839"/>
      <c r="G10" s="858">
        <f>+'6b.1-Trust Fund Reserves'!G48</f>
        <v>2842145.7200000007</v>
      </c>
      <c r="H10" s="839"/>
      <c r="I10" s="858">
        <f>+'6b.1-Trust Fund Reserves'!I48</f>
        <v>8873567.6899999995</v>
      </c>
      <c r="J10" s="839"/>
      <c r="K10" s="858">
        <f>+'6b.1-Trust Fund Reserves'!K48</f>
        <v>8562204.4100000001</v>
      </c>
      <c r="L10" s="839"/>
      <c r="M10" s="855">
        <f>+'6b.1-Trust Fund Reserves'!M48</f>
        <v>3153509</v>
      </c>
      <c r="N10" s="325"/>
      <c r="O10" s="325"/>
    </row>
    <row r="11" spans="2:15" ht="21" customHeight="1">
      <c r="B11" s="375"/>
      <c r="C11" s="375"/>
      <c r="D11" s="375"/>
      <c r="E11" s="375"/>
      <c r="F11" s="397"/>
      <c r="G11" s="376"/>
      <c r="H11" s="397"/>
      <c r="I11" s="376"/>
      <c r="J11" s="397"/>
      <c r="K11" s="376"/>
      <c r="L11" s="379"/>
      <c r="M11" s="855">
        <f t="shared" ref="M11:M47" si="0">+G11+I11-K11</f>
        <v>0</v>
      </c>
      <c r="N11" s="325"/>
    </row>
    <row r="12" spans="2:15" ht="21" customHeight="1">
      <c r="B12" s="375"/>
      <c r="C12" s="375"/>
      <c r="D12" s="375"/>
      <c r="E12" s="375"/>
      <c r="F12" s="397"/>
      <c r="G12" s="376"/>
      <c r="H12" s="397"/>
      <c r="I12" s="376"/>
      <c r="J12" s="397"/>
      <c r="K12" s="376"/>
      <c r="L12" s="379"/>
      <c r="M12" s="855">
        <f t="shared" si="0"/>
        <v>0</v>
      </c>
      <c r="N12" s="325"/>
    </row>
    <row r="13" spans="2:15" ht="21" customHeight="1">
      <c r="B13" s="375"/>
      <c r="C13" s="375"/>
      <c r="D13" s="375"/>
      <c r="E13" s="375"/>
      <c r="F13" s="397"/>
      <c r="G13" s="376"/>
      <c r="H13" s="397"/>
      <c r="I13" s="665"/>
      <c r="J13" s="397"/>
      <c r="K13" s="376"/>
      <c r="L13" s="379"/>
      <c r="M13" s="855">
        <f t="shared" si="0"/>
        <v>0</v>
      </c>
      <c r="N13" s="325"/>
      <c r="O13" s="377"/>
    </row>
    <row r="14" spans="2:15" ht="21" customHeight="1">
      <c r="B14" s="666"/>
      <c r="C14" s="375"/>
      <c r="D14" s="375"/>
      <c r="E14" s="375"/>
      <c r="F14" s="397"/>
      <c r="G14" s="376"/>
      <c r="H14" s="397"/>
      <c r="I14" s="376"/>
      <c r="J14" s="397"/>
      <c r="K14" s="376"/>
      <c r="L14" s="379"/>
      <c r="M14" s="855">
        <f t="shared" si="0"/>
        <v>0</v>
      </c>
      <c r="N14" s="325"/>
    </row>
    <row r="15" spans="2:15" ht="21" customHeight="1">
      <c r="B15" s="375"/>
      <c r="C15" s="375"/>
      <c r="D15" s="375"/>
      <c r="E15" s="375"/>
      <c r="F15" s="397"/>
      <c r="G15" s="376"/>
      <c r="H15" s="397"/>
      <c r="I15" s="376"/>
      <c r="J15" s="397"/>
      <c r="K15" s="376"/>
      <c r="L15" s="379"/>
      <c r="M15" s="855">
        <f t="shared" si="0"/>
        <v>0</v>
      </c>
      <c r="N15" s="325"/>
    </row>
    <row r="16" spans="2:15" ht="21" customHeight="1">
      <c r="B16" s="375"/>
      <c r="C16" s="375"/>
      <c r="D16" s="375"/>
      <c r="E16" s="375"/>
      <c r="F16" s="397"/>
      <c r="G16" s="376"/>
      <c r="H16" s="397"/>
      <c r="I16" s="376"/>
      <c r="J16" s="397"/>
      <c r="K16" s="376"/>
      <c r="L16" s="379"/>
      <c r="M16" s="855">
        <f t="shared" si="0"/>
        <v>0</v>
      </c>
      <c r="N16" s="325"/>
    </row>
    <row r="17" spans="2:14" ht="21" customHeight="1">
      <c r="B17" s="375"/>
      <c r="C17" s="375"/>
      <c r="D17" s="375"/>
      <c r="E17" s="375"/>
      <c r="F17" s="397"/>
      <c r="G17" s="376"/>
      <c r="H17" s="397"/>
      <c r="I17" s="376"/>
      <c r="J17" s="397"/>
      <c r="K17" s="376"/>
      <c r="L17" s="379"/>
      <c r="M17" s="855">
        <f t="shared" si="0"/>
        <v>0</v>
      </c>
      <c r="N17" s="325"/>
    </row>
    <row r="18" spans="2:14" ht="21" customHeight="1">
      <c r="B18" s="375"/>
      <c r="C18" s="375"/>
      <c r="D18" s="375"/>
      <c r="E18" s="375"/>
      <c r="F18" s="397"/>
      <c r="G18" s="376"/>
      <c r="H18" s="397"/>
      <c r="I18" s="376"/>
      <c r="J18" s="397"/>
      <c r="K18" s="376"/>
      <c r="L18" s="379"/>
      <c r="M18" s="855">
        <f t="shared" si="0"/>
        <v>0</v>
      </c>
      <c r="N18" s="325"/>
    </row>
    <row r="19" spans="2:14" ht="21" customHeight="1">
      <c r="B19" s="666"/>
      <c r="C19" s="375"/>
      <c r="D19" s="375"/>
      <c r="E19" s="375"/>
      <c r="F19" s="397"/>
      <c r="G19" s="376"/>
      <c r="H19" s="397"/>
      <c r="I19" s="376"/>
      <c r="J19" s="397"/>
      <c r="K19" s="376"/>
      <c r="L19" s="379"/>
      <c r="M19" s="855">
        <f t="shared" si="0"/>
        <v>0</v>
      </c>
      <c r="N19" s="325"/>
    </row>
    <row r="20" spans="2:14" ht="21" customHeight="1">
      <c r="B20" s="666"/>
      <c r="C20" s="375"/>
      <c r="D20" s="375"/>
      <c r="E20" s="375"/>
      <c r="F20" s="397"/>
      <c r="G20" s="376"/>
      <c r="H20" s="397"/>
      <c r="I20" s="376"/>
      <c r="J20" s="397"/>
      <c r="K20" s="376"/>
      <c r="L20" s="379"/>
      <c r="M20" s="855">
        <f t="shared" si="0"/>
        <v>0</v>
      </c>
      <c r="N20" s="325"/>
    </row>
    <row r="21" spans="2:14" ht="21" customHeight="1">
      <c r="B21" s="666"/>
      <c r="C21" s="375"/>
      <c r="D21" s="375"/>
      <c r="E21" s="375"/>
      <c r="F21" s="397"/>
      <c r="G21" s="376"/>
      <c r="H21" s="397"/>
      <c r="I21" s="376"/>
      <c r="J21" s="397"/>
      <c r="K21" s="376"/>
      <c r="L21" s="379"/>
      <c r="M21" s="855">
        <f t="shared" si="0"/>
        <v>0</v>
      </c>
      <c r="N21" s="325"/>
    </row>
    <row r="22" spans="2:14" ht="21" customHeight="1">
      <c r="B22" s="666"/>
      <c r="C22" s="375"/>
      <c r="D22" s="375"/>
      <c r="E22" s="375"/>
      <c r="F22" s="397"/>
      <c r="G22" s="376"/>
      <c r="H22" s="397"/>
      <c r="I22" s="376"/>
      <c r="J22" s="397"/>
      <c r="K22" s="376"/>
      <c r="L22" s="379"/>
      <c r="M22" s="855">
        <f t="shared" si="0"/>
        <v>0</v>
      </c>
      <c r="N22" s="325"/>
    </row>
    <row r="23" spans="2:14" ht="21" customHeight="1">
      <c r="B23" s="666"/>
      <c r="C23" s="375"/>
      <c r="D23" s="375"/>
      <c r="E23" s="375"/>
      <c r="F23" s="397"/>
      <c r="G23" s="376"/>
      <c r="H23" s="397"/>
      <c r="I23" s="376"/>
      <c r="J23" s="397"/>
      <c r="K23" s="376"/>
      <c r="L23" s="379"/>
      <c r="M23" s="855">
        <f t="shared" si="0"/>
        <v>0</v>
      </c>
      <c r="N23" s="325"/>
    </row>
    <row r="24" spans="2:14" ht="21" customHeight="1">
      <c r="B24" s="666"/>
      <c r="C24" s="375"/>
      <c r="D24" s="375"/>
      <c r="E24" s="375"/>
      <c r="F24" s="397"/>
      <c r="G24" s="376"/>
      <c r="H24" s="397"/>
      <c r="I24" s="376"/>
      <c r="J24" s="397"/>
      <c r="K24" s="376"/>
      <c r="L24" s="379"/>
      <c r="M24" s="855">
        <f t="shared" si="0"/>
        <v>0</v>
      </c>
      <c r="N24" s="325"/>
    </row>
    <row r="25" spans="2:14" ht="21" customHeight="1">
      <c r="B25" s="375"/>
      <c r="C25" s="375"/>
      <c r="D25" s="375"/>
      <c r="E25" s="375"/>
      <c r="F25" s="397"/>
      <c r="G25" s="376"/>
      <c r="H25" s="397"/>
      <c r="I25" s="376"/>
      <c r="J25" s="397"/>
      <c r="K25" s="376"/>
      <c r="L25" s="379"/>
      <c r="M25" s="855">
        <f t="shared" si="0"/>
        <v>0</v>
      </c>
      <c r="N25" s="325"/>
    </row>
    <row r="26" spans="2:14" ht="21" customHeight="1">
      <c r="B26" s="375"/>
      <c r="C26" s="375"/>
      <c r="D26" s="375"/>
      <c r="E26" s="375"/>
      <c r="F26" s="397"/>
      <c r="G26" s="376"/>
      <c r="H26" s="397"/>
      <c r="I26" s="376"/>
      <c r="J26" s="397"/>
      <c r="K26" s="376"/>
      <c r="L26" s="379"/>
      <c r="M26" s="855">
        <f t="shared" si="0"/>
        <v>0</v>
      </c>
    </row>
    <row r="27" spans="2:14" ht="21" customHeight="1">
      <c r="B27" s="375"/>
      <c r="C27" s="375"/>
      <c r="D27" s="375"/>
      <c r="E27" s="375"/>
      <c r="F27" s="397"/>
      <c r="G27" s="376"/>
      <c r="H27" s="397"/>
      <c r="I27" s="376"/>
      <c r="J27" s="397"/>
      <c r="K27" s="376"/>
      <c r="L27" s="379"/>
      <c r="M27" s="855">
        <f t="shared" si="0"/>
        <v>0</v>
      </c>
    </row>
    <row r="28" spans="2:14" ht="21" customHeight="1">
      <c r="B28" s="375"/>
      <c r="C28" s="375"/>
      <c r="D28" s="375"/>
      <c r="E28" s="375"/>
      <c r="F28" s="397"/>
      <c r="G28" s="376"/>
      <c r="H28" s="397"/>
      <c r="I28" s="376"/>
      <c r="J28" s="397"/>
      <c r="K28" s="376"/>
      <c r="L28" s="379"/>
      <c r="M28" s="855">
        <f t="shared" si="0"/>
        <v>0</v>
      </c>
    </row>
    <row r="29" spans="2:14" ht="21" customHeight="1">
      <c r="B29" s="375"/>
      <c r="C29" s="375"/>
      <c r="D29" s="375"/>
      <c r="E29" s="375"/>
      <c r="F29" s="397"/>
      <c r="G29" s="376"/>
      <c r="H29" s="397"/>
      <c r="I29" s="376"/>
      <c r="J29" s="397"/>
      <c r="K29" s="376"/>
      <c r="L29" s="379"/>
      <c r="M29" s="855">
        <f t="shared" si="0"/>
        <v>0</v>
      </c>
    </row>
    <row r="30" spans="2:14" ht="21" customHeight="1">
      <c r="B30" s="375"/>
      <c r="C30" s="375"/>
      <c r="D30" s="375"/>
      <c r="E30" s="375"/>
      <c r="F30" s="397"/>
      <c r="G30" s="376"/>
      <c r="H30" s="397"/>
      <c r="I30" s="376"/>
      <c r="J30" s="397"/>
      <c r="K30" s="376"/>
      <c r="L30" s="379"/>
      <c r="M30" s="855">
        <f t="shared" si="0"/>
        <v>0</v>
      </c>
    </row>
    <row r="31" spans="2:14" ht="21" customHeight="1">
      <c r="B31" s="375"/>
      <c r="C31" s="375"/>
      <c r="D31" s="375"/>
      <c r="E31" s="375"/>
      <c r="F31" s="397"/>
      <c r="G31" s="376"/>
      <c r="H31" s="397"/>
      <c r="I31" s="376"/>
      <c r="J31" s="397"/>
      <c r="K31" s="376"/>
      <c r="L31" s="379"/>
      <c r="M31" s="855">
        <f t="shared" si="0"/>
        <v>0</v>
      </c>
    </row>
    <row r="32" spans="2:14" ht="21" customHeight="1">
      <c r="B32" s="375"/>
      <c r="C32" s="375"/>
      <c r="D32" s="375"/>
      <c r="E32" s="375"/>
      <c r="F32" s="397"/>
      <c r="G32" s="376"/>
      <c r="H32" s="397"/>
      <c r="I32" s="376"/>
      <c r="J32" s="397"/>
      <c r="K32" s="376"/>
      <c r="L32" s="379"/>
      <c r="M32" s="855">
        <f t="shared" si="0"/>
        <v>0</v>
      </c>
    </row>
    <row r="33" spans="2:13" ht="21" customHeight="1">
      <c r="B33" s="375"/>
      <c r="C33" s="375"/>
      <c r="D33" s="375"/>
      <c r="E33" s="375"/>
      <c r="F33" s="397"/>
      <c r="G33" s="376"/>
      <c r="H33" s="397"/>
      <c r="I33" s="376"/>
      <c r="J33" s="397"/>
      <c r="K33" s="376"/>
      <c r="L33" s="379"/>
      <c r="M33" s="855">
        <f t="shared" si="0"/>
        <v>0</v>
      </c>
    </row>
    <row r="34" spans="2:13" ht="21" customHeight="1">
      <c r="B34" s="375"/>
      <c r="C34" s="375"/>
      <c r="D34" s="375"/>
      <c r="E34" s="375"/>
      <c r="F34" s="397"/>
      <c r="G34" s="376"/>
      <c r="H34" s="397"/>
      <c r="I34" s="376"/>
      <c r="J34" s="397"/>
      <c r="K34" s="376"/>
      <c r="L34" s="379"/>
      <c r="M34" s="855">
        <f t="shared" si="0"/>
        <v>0</v>
      </c>
    </row>
    <row r="35" spans="2:13" ht="21" customHeight="1">
      <c r="B35" s="375"/>
      <c r="C35" s="375"/>
      <c r="D35" s="375"/>
      <c r="E35" s="375"/>
      <c r="F35" s="397"/>
      <c r="G35" s="376"/>
      <c r="H35" s="397"/>
      <c r="I35" s="376"/>
      <c r="J35" s="397"/>
      <c r="K35" s="376"/>
      <c r="L35" s="379"/>
      <c r="M35" s="855">
        <f t="shared" si="0"/>
        <v>0</v>
      </c>
    </row>
    <row r="36" spans="2:13" ht="21" customHeight="1">
      <c r="B36" s="375"/>
      <c r="C36" s="375"/>
      <c r="D36" s="375"/>
      <c r="E36" s="375"/>
      <c r="F36" s="397"/>
      <c r="G36" s="376"/>
      <c r="H36" s="397"/>
      <c r="I36" s="376"/>
      <c r="J36" s="397"/>
      <c r="K36" s="376"/>
      <c r="L36" s="379"/>
      <c r="M36" s="855">
        <f t="shared" si="0"/>
        <v>0</v>
      </c>
    </row>
    <row r="37" spans="2:13" ht="21" customHeight="1">
      <c r="B37" s="375"/>
      <c r="C37" s="375"/>
      <c r="D37" s="375"/>
      <c r="E37" s="375"/>
      <c r="F37" s="397"/>
      <c r="G37" s="376"/>
      <c r="H37" s="397"/>
      <c r="I37" s="376"/>
      <c r="J37" s="397"/>
      <c r="K37" s="376"/>
      <c r="L37" s="379"/>
      <c r="M37" s="855">
        <f t="shared" si="0"/>
        <v>0</v>
      </c>
    </row>
    <row r="38" spans="2:13" ht="21" customHeight="1">
      <c r="B38" s="375"/>
      <c r="C38" s="375"/>
      <c r="D38" s="375"/>
      <c r="E38" s="375"/>
      <c r="F38" s="397"/>
      <c r="G38" s="376"/>
      <c r="H38" s="397"/>
      <c r="I38" s="376"/>
      <c r="J38" s="397"/>
      <c r="K38" s="376"/>
      <c r="L38" s="379"/>
      <c r="M38" s="855">
        <f t="shared" si="0"/>
        <v>0</v>
      </c>
    </row>
    <row r="39" spans="2:13" ht="21" customHeight="1">
      <c r="B39" s="375"/>
      <c r="C39" s="375"/>
      <c r="D39" s="375"/>
      <c r="E39" s="375"/>
      <c r="F39" s="397"/>
      <c r="G39" s="376"/>
      <c r="H39" s="397"/>
      <c r="I39" s="376"/>
      <c r="J39" s="397"/>
      <c r="K39" s="376"/>
      <c r="L39" s="379"/>
      <c r="M39" s="855">
        <f t="shared" si="0"/>
        <v>0</v>
      </c>
    </row>
    <row r="40" spans="2:13" ht="21" customHeight="1">
      <c r="B40" s="375"/>
      <c r="C40" s="375"/>
      <c r="D40" s="375"/>
      <c r="E40" s="375"/>
      <c r="F40" s="397"/>
      <c r="G40" s="376"/>
      <c r="H40" s="397"/>
      <c r="I40" s="376"/>
      <c r="J40" s="397"/>
      <c r="K40" s="376"/>
      <c r="L40" s="379"/>
      <c r="M40" s="855">
        <f t="shared" si="0"/>
        <v>0</v>
      </c>
    </row>
    <row r="41" spans="2:13" ht="21" customHeight="1">
      <c r="B41" s="375"/>
      <c r="C41" s="375"/>
      <c r="D41" s="375"/>
      <c r="E41" s="375"/>
      <c r="F41" s="397"/>
      <c r="G41" s="376"/>
      <c r="H41" s="397"/>
      <c r="I41" s="376"/>
      <c r="J41" s="397"/>
      <c r="K41" s="376"/>
      <c r="L41" s="379"/>
      <c r="M41" s="855">
        <f t="shared" si="0"/>
        <v>0</v>
      </c>
    </row>
    <row r="42" spans="2:13" ht="21" customHeight="1">
      <c r="B42" s="375"/>
      <c r="C42" s="375"/>
      <c r="D42" s="375"/>
      <c r="E42" s="375"/>
      <c r="F42" s="397"/>
      <c r="G42" s="376"/>
      <c r="H42" s="397"/>
      <c r="I42" s="376"/>
      <c r="J42" s="397"/>
      <c r="K42" s="376"/>
      <c r="L42" s="379"/>
      <c r="M42" s="855">
        <f t="shared" si="0"/>
        <v>0</v>
      </c>
    </row>
    <row r="43" spans="2:13" ht="21" customHeight="1">
      <c r="B43" s="375"/>
      <c r="C43" s="375"/>
      <c r="D43" s="375"/>
      <c r="E43" s="375"/>
      <c r="F43" s="397"/>
      <c r="G43" s="376"/>
      <c r="H43" s="397"/>
      <c r="I43" s="376"/>
      <c r="J43" s="397"/>
      <c r="K43" s="376"/>
      <c r="L43" s="379"/>
      <c r="M43" s="855">
        <f t="shared" si="0"/>
        <v>0</v>
      </c>
    </row>
    <row r="44" spans="2:13" ht="21" customHeight="1">
      <c r="B44" s="375"/>
      <c r="C44" s="375"/>
      <c r="D44" s="375"/>
      <c r="E44" s="375"/>
      <c r="F44" s="397"/>
      <c r="G44" s="376"/>
      <c r="H44" s="397"/>
      <c r="I44" s="376"/>
      <c r="J44" s="397"/>
      <c r="K44" s="376"/>
      <c r="L44" s="379"/>
      <c r="M44" s="855">
        <f t="shared" si="0"/>
        <v>0</v>
      </c>
    </row>
    <row r="45" spans="2:13" ht="21" customHeight="1">
      <c r="B45" s="375"/>
      <c r="C45" s="375"/>
      <c r="D45" s="375"/>
      <c r="E45" s="375"/>
      <c r="F45" s="397"/>
      <c r="G45" s="376"/>
      <c r="H45" s="397"/>
      <c r="I45" s="376"/>
      <c r="J45" s="397"/>
      <c r="K45" s="376"/>
      <c r="L45" s="379"/>
      <c r="M45" s="855">
        <f t="shared" si="0"/>
        <v>0</v>
      </c>
    </row>
    <row r="46" spans="2:13" ht="21" customHeight="1">
      <c r="B46" s="375"/>
      <c r="C46" s="375"/>
      <c r="D46" s="375"/>
      <c r="E46" s="375"/>
      <c r="F46" s="397"/>
      <c r="G46" s="376"/>
      <c r="H46" s="397"/>
      <c r="I46" s="376"/>
      <c r="J46" s="397"/>
      <c r="K46" s="376"/>
      <c r="L46" s="379"/>
      <c r="M46" s="855">
        <f t="shared" si="0"/>
        <v>0</v>
      </c>
    </row>
    <row r="47" spans="2:13" ht="21" customHeight="1">
      <c r="B47" s="375"/>
      <c r="C47" s="375"/>
      <c r="D47" s="375"/>
      <c r="E47" s="375"/>
      <c r="F47" s="397"/>
      <c r="G47" s="376"/>
      <c r="H47" s="397"/>
      <c r="I47" s="376"/>
      <c r="J47" s="397"/>
      <c r="K47" s="376"/>
      <c r="L47" s="379"/>
      <c r="M47" s="855">
        <f t="shared" si="0"/>
        <v>0</v>
      </c>
    </row>
    <row r="48" spans="2:13" ht="21" customHeight="1">
      <c r="B48" s="286"/>
      <c r="C48" s="286"/>
      <c r="D48" s="151" t="s">
        <v>3538</v>
      </c>
      <c r="E48" s="286"/>
      <c r="F48" s="322" t="s">
        <v>482</v>
      </c>
      <c r="G48" s="160">
        <f>SUM(G10:G47)</f>
        <v>2842145.7200000007</v>
      </c>
      <c r="H48" s="322" t="s">
        <v>482</v>
      </c>
      <c r="I48" s="160">
        <f>SUM(I10:I47)</f>
        <v>8873567.6899999995</v>
      </c>
      <c r="J48" s="322" t="s">
        <v>482</v>
      </c>
      <c r="K48" s="160">
        <f>SUM(K10:K47)</f>
        <v>8562204.4100000001</v>
      </c>
      <c r="L48" s="322" t="s">
        <v>482</v>
      </c>
      <c r="M48" s="855">
        <f>SUM(M10:M47)</f>
        <v>3153509</v>
      </c>
    </row>
    <row r="50" spans="2:13" ht="13.8">
      <c r="B50" s="1573" t="s">
        <v>3540</v>
      </c>
      <c r="C50" s="1573"/>
      <c r="D50" s="1573"/>
      <c r="E50" s="1573"/>
      <c r="F50" s="1573"/>
      <c r="G50" s="1573"/>
      <c r="H50" s="1573"/>
      <c r="I50" s="1573"/>
      <c r="J50" s="1573"/>
      <c r="K50" s="1573"/>
      <c r="L50" s="1573"/>
      <c r="M50" s="1573"/>
    </row>
    <row r="52" spans="2:13">
      <c r="G52" s="325"/>
      <c r="M52" s="325"/>
    </row>
  </sheetData>
  <sheetProtection algorithmName="SHA-512" hashValue="KuOQflrUof5OsylgnLbQPOLcwKCJhYIhoRxDO38/olagXb7iaugNHkLlRtdcMo/io/Z6dfgJ7RC3gefCQkU9QQ==" saltValue="bWpz9bWfvfYQIetZMmPrRA==" spinCount="100000" sheet="1" scenarios="1"/>
  <customSheetViews>
    <customSheetView guid="{AC653BD0-46E3-42CB-9C76-32121A57B65A}" state="hidden">
      <selection activeCell="B1" sqref="B1"/>
      <pageMargins left="0.25" right="0.25" top="0.5" bottom="0.5" header="0.25" footer="0.25"/>
      <pageSetup paperSize="5" scale="98" orientation="portrait" r:id="rId1"/>
      <headerFooter alignWithMargins="0"/>
    </customSheetView>
    <customSheetView guid="{B165479B-DC25-403C-9595-F1A88A4AA9A2}" state="hidden">
      <selection activeCell="B1" sqref="B1"/>
      <pageMargins left="0.25" right="0.25" top="0.5" bottom="0.5" header="0.25" footer="0.25"/>
      <pageSetup paperSize="5" scale="98" orientation="portrait" r:id="rId2"/>
      <headerFooter alignWithMargins="0"/>
    </customSheetView>
    <customSheetView guid="{A64E4C9E-A3DA-4AAA-8607-F524450B9436}" state="hidden">
      <selection activeCell="B1" sqref="B1"/>
      <pageMargins left="0.25" right="0.25" top="0.5" bottom="0.5" header="0.25" footer="0.25"/>
      <pageSetup paperSize="5" scale="98" orientation="portrait" r:id="rId3"/>
      <headerFooter alignWithMargins="0"/>
    </customSheetView>
    <customSheetView guid="{AB4FBD91-4533-473A-9702-569FF6402073}" state="hidden">
      <selection activeCell="B1" sqref="B1"/>
      <pageMargins left="0.25" right="0.25" top="0.5" bottom="0.5" header="0.25" footer="0.25"/>
      <pageSetup paperSize="5" scale="98" orientation="portrait" r:id="rId4"/>
      <headerFooter alignWithMargins="0"/>
    </customSheetView>
  </customSheetViews>
  <mergeCells count="6">
    <mergeCell ref="B50:M50"/>
    <mergeCell ref="B2:M2"/>
    <mergeCell ref="B3:M3"/>
    <mergeCell ref="B5:D5"/>
    <mergeCell ref="B6:D6"/>
    <mergeCell ref="B8:D8"/>
  </mergeCells>
  <pageMargins left="0.25" right="0.25" top="0.5" bottom="0.5" header="0.25" footer="0.25"/>
  <pageSetup paperSize="5" scale="98" orientation="portrait" r:id="rId5"/>
  <headerFooter alignWithMargins="0"/>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29">
    <tabColor theme="2" tint="-0.249977111117893"/>
  </sheetPr>
  <dimension ref="B1:T55"/>
  <sheetViews>
    <sheetView zoomScaleNormal="100" zoomScaleSheetLayoutView="80" workbookViewId="0">
      <selection activeCell="B14" sqref="B14"/>
    </sheetView>
  </sheetViews>
  <sheetFormatPr defaultColWidth="8.88671875" defaultRowHeight="13.2"/>
  <cols>
    <col min="1" max="1" width="4.6640625" style="398" customWidth="1"/>
    <col min="2" max="3" width="3.6640625" style="398" customWidth="1"/>
    <col min="4" max="4" width="4.6640625" style="398" customWidth="1"/>
    <col min="5" max="5" width="8.88671875" style="398"/>
    <col min="6" max="6" width="16.6640625" style="398" customWidth="1"/>
    <col min="7" max="7" width="8.6640625" style="398" customWidth="1"/>
    <col min="8" max="10" width="16.6640625" style="398" customWidth="1"/>
    <col min="11" max="11" width="8.88671875" style="398"/>
    <col min="12" max="12" width="11.33203125" style="398" bestFit="1" customWidth="1"/>
    <col min="13" max="16384" width="8.88671875" style="398"/>
  </cols>
  <sheetData>
    <row r="1" spans="2:20">
      <c r="B1" s="1114"/>
      <c r="C1" s="1114"/>
      <c r="D1" s="1114"/>
      <c r="E1" s="1114"/>
      <c r="F1" s="1114"/>
      <c r="G1" s="1114"/>
      <c r="H1" s="1114"/>
      <c r="I1" s="1114"/>
      <c r="J1" s="1114"/>
    </row>
    <row r="2" spans="2:20" ht="22.8">
      <c r="B2" s="1759" t="str">
        <f>"SCHEDULE  OF "&amp;UPPER('KEY INPUTS'!D55)&amp;" UTILITY  BUDGET  -  "&amp;TEXT('KEY INPUTS'!D34,"0")&amp;""</f>
        <v>SCHEDULE  OF  UTILITY  BUDGET  -  2019</v>
      </c>
      <c r="C2" s="1759"/>
      <c r="D2" s="1759"/>
      <c r="E2" s="1759"/>
      <c r="F2" s="1759"/>
      <c r="G2" s="1759"/>
      <c r="H2" s="1759"/>
      <c r="I2" s="1759"/>
      <c r="J2" s="1759"/>
    </row>
    <row r="3" spans="2:20" ht="12" customHeight="1">
      <c r="B3" s="1301"/>
      <c r="C3" s="1301"/>
      <c r="D3" s="1301"/>
      <c r="E3" s="1301"/>
      <c r="F3" s="1301"/>
      <c r="G3" s="1301"/>
      <c r="H3" s="1301"/>
      <c r="I3" s="1301"/>
      <c r="J3" s="1301"/>
    </row>
    <row r="4" spans="2:20" ht="17.25" customHeight="1" thickBot="1">
      <c r="B4" s="1919" t="s">
        <v>1055</v>
      </c>
      <c r="C4" s="1919"/>
      <c r="D4" s="1919"/>
      <c r="E4" s="1919"/>
      <c r="F4" s="1919"/>
      <c r="G4" s="1919"/>
      <c r="H4" s="1919"/>
      <c r="I4" s="1919"/>
      <c r="J4" s="1919"/>
    </row>
    <row r="5" spans="2:20" ht="13.8" thickTop="1">
      <c r="B5" s="1920" t="s">
        <v>211</v>
      </c>
      <c r="C5" s="1920"/>
      <c r="D5" s="1920"/>
      <c r="E5" s="1920"/>
      <c r="F5" s="1920"/>
      <c r="G5" s="1885"/>
      <c r="H5" s="1238" t="s">
        <v>676</v>
      </c>
      <c r="I5" s="1238" t="s">
        <v>803</v>
      </c>
      <c r="J5" s="1302" t="s">
        <v>424</v>
      </c>
    </row>
    <row r="6" spans="2:20" ht="13.8" thickBot="1">
      <c r="B6" s="1921"/>
      <c r="C6" s="1921"/>
      <c r="D6" s="1921"/>
      <c r="E6" s="1921"/>
      <c r="F6" s="1921"/>
      <c r="G6" s="1922"/>
      <c r="H6" s="1303"/>
      <c r="I6" s="1303" t="s">
        <v>423</v>
      </c>
      <c r="J6" s="1304" t="s">
        <v>425</v>
      </c>
    </row>
    <row r="7" spans="2:20" ht="21" customHeight="1" thickTop="1">
      <c r="B7" s="1170" t="s">
        <v>3433</v>
      </c>
      <c r="C7" s="1170"/>
      <c r="D7" s="1170"/>
      <c r="E7" s="1170"/>
      <c r="F7" s="1170"/>
      <c r="G7" s="1305" t="s">
        <v>3432</v>
      </c>
      <c r="H7" s="605"/>
      <c r="I7" s="1309">
        <f>H7</f>
        <v>0</v>
      </c>
      <c r="J7" s="1203">
        <f>+I7-H7</f>
        <v>0</v>
      </c>
    </row>
    <row r="8" spans="2:20" ht="10.5" customHeight="1">
      <c r="B8" s="1209" t="s">
        <v>3431</v>
      </c>
      <c r="C8" s="1114"/>
      <c r="D8" s="1114"/>
      <c r="E8" s="1114"/>
      <c r="F8" s="1114"/>
      <c r="G8" s="1306"/>
      <c r="H8" s="1308"/>
      <c r="I8" s="1308"/>
      <c r="J8" s="1118"/>
    </row>
    <row r="9" spans="2:20">
      <c r="B9" s="1128" t="s">
        <v>214</v>
      </c>
      <c r="C9" s="1128"/>
      <c r="D9" s="1128"/>
      <c r="E9" s="1128"/>
      <c r="F9" s="1128"/>
      <c r="G9" s="1307" t="s">
        <v>3430</v>
      </c>
      <c r="H9" s="653"/>
      <c r="I9" s="653"/>
      <c r="J9" s="858">
        <f t="shared" ref="J9:J15" si="0">+I9-H9</f>
        <v>0</v>
      </c>
    </row>
    <row r="10" spans="2:20" ht="21" customHeight="1">
      <c r="B10" s="648"/>
      <c r="C10" s="648"/>
      <c r="D10" s="648"/>
      <c r="E10" s="648"/>
      <c r="F10" s="648"/>
      <c r="G10" s="1166"/>
      <c r="H10" s="780"/>
      <c r="I10" s="780"/>
      <c r="J10" s="1310">
        <f t="shared" si="0"/>
        <v>0</v>
      </c>
      <c r="N10" s="322"/>
      <c r="O10" s="322"/>
      <c r="P10" s="322"/>
      <c r="Q10" s="322"/>
      <c r="R10" s="322"/>
      <c r="S10" s="322"/>
      <c r="T10" s="322"/>
    </row>
    <row r="11" spans="2:20" ht="21" customHeight="1">
      <c r="B11" s="648"/>
      <c r="C11" s="648"/>
      <c r="D11" s="648"/>
      <c r="E11" s="648"/>
      <c r="F11" s="648"/>
      <c r="G11" s="1166"/>
      <c r="H11" s="780"/>
      <c r="I11" s="780"/>
      <c r="J11" s="1124">
        <f t="shared" si="0"/>
        <v>0</v>
      </c>
      <c r="N11" s="322"/>
      <c r="O11" s="322"/>
      <c r="P11" s="322"/>
      <c r="Q11" s="322"/>
      <c r="R11" s="322"/>
      <c r="S11" s="322"/>
      <c r="T11" s="322"/>
    </row>
    <row r="12" spans="2:20" ht="21" customHeight="1">
      <c r="B12" s="648"/>
      <c r="C12" s="648"/>
      <c r="D12" s="648"/>
      <c r="E12" s="648"/>
      <c r="F12" s="648"/>
      <c r="G12" s="1166"/>
      <c r="H12" s="780"/>
      <c r="I12" s="780"/>
      <c r="J12" s="1124">
        <f t="shared" si="0"/>
        <v>0</v>
      </c>
      <c r="N12" s="377"/>
      <c r="O12" s="322"/>
      <c r="P12" s="322"/>
      <c r="Q12" s="322"/>
      <c r="R12" s="322"/>
      <c r="S12" s="322"/>
      <c r="T12" s="322"/>
    </row>
    <row r="13" spans="2:20" ht="21" customHeight="1">
      <c r="B13" s="648"/>
      <c r="C13" s="648"/>
      <c r="D13" s="648"/>
      <c r="E13" s="648"/>
      <c r="F13" s="648"/>
      <c r="G13" s="1166"/>
      <c r="H13" s="780"/>
      <c r="I13" s="780"/>
      <c r="J13" s="1124">
        <f t="shared" si="0"/>
        <v>0</v>
      </c>
      <c r="N13" s="322"/>
      <c r="O13" s="322"/>
      <c r="P13" s="322"/>
      <c r="Q13" s="322"/>
      <c r="R13" s="322"/>
      <c r="S13" s="322"/>
      <c r="T13" s="322"/>
    </row>
    <row r="14" spans="2:20" ht="21" customHeight="1">
      <c r="B14" s="648"/>
      <c r="C14" s="648"/>
      <c r="D14" s="648"/>
      <c r="E14" s="648"/>
      <c r="F14" s="648"/>
      <c r="G14" s="1166"/>
      <c r="H14" s="780"/>
      <c r="I14" s="780"/>
      <c r="J14" s="1124">
        <f t="shared" si="0"/>
        <v>0</v>
      </c>
      <c r="N14" s="322"/>
      <c r="O14" s="322"/>
      <c r="P14" s="322"/>
      <c r="Q14" s="322"/>
      <c r="R14" s="322"/>
      <c r="S14" s="322"/>
      <c r="T14" s="322"/>
    </row>
    <row r="15" spans="2:20" ht="21" customHeight="1">
      <c r="B15" s="690" t="s">
        <v>3429</v>
      </c>
      <c r="C15" s="690"/>
      <c r="D15" s="690"/>
      <c r="E15" s="690"/>
      <c r="F15" s="690"/>
      <c r="G15" s="1307" t="s">
        <v>3425</v>
      </c>
      <c r="H15" s="780"/>
      <c r="I15" s="780"/>
      <c r="J15" s="1124">
        <f t="shared" si="0"/>
        <v>0</v>
      </c>
      <c r="N15" s="322"/>
      <c r="O15" s="322"/>
      <c r="P15" s="322"/>
      <c r="Q15" s="322"/>
      <c r="R15" s="322"/>
      <c r="S15" s="322"/>
      <c r="T15" s="322"/>
    </row>
    <row r="16" spans="2:20" ht="21" customHeight="1">
      <c r="B16" s="690" t="s">
        <v>3428</v>
      </c>
      <c r="C16" s="690"/>
      <c r="D16" s="690"/>
      <c r="E16" s="690"/>
      <c r="F16" s="690"/>
      <c r="G16" s="1307"/>
      <c r="H16" s="780"/>
      <c r="I16" s="780"/>
      <c r="J16" s="1124"/>
      <c r="N16" s="322"/>
      <c r="O16" s="322"/>
      <c r="P16" s="322"/>
      <c r="Q16" s="322"/>
      <c r="R16" s="322"/>
      <c r="S16" s="322"/>
      <c r="T16" s="322"/>
    </row>
    <row r="17" spans="2:20" ht="21" customHeight="1">
      <c r="B17" s="690" t="s">
        <v>422</v>
      </c>
      <c r="C17" s="690"/>
      <c r="D17" s="690"/>
      <c r="E17" s="690"/>
      <c r="F17" s="690"/>
      <c r="G17" s="1307"/>
      <c r="H17" s="1174" t="s">
        <v>787</v>
      </c>
      <c r="I17" s="1174" t="s">
        <v>787</v>
      </c>
      <c r="J17" s="1300" t="s">
        <v>787</v>
      </c>
      <c r="N17" s="322"/>
      <c r="O17" s="322"/>
      <c r="P17" s="322"/>
      <c r="Q17" s="322"/>
      <c r="R17" s="322"/>
      <c r="S17" s="322"/>
      <c r="T17" s="322"/>
    </row>
    <row r="18" spans="2:20" ht="21" customHeight="1">
      <c r="B18" s="648"/>
      <c r="C18" s="648"/>
      <c r="D18" s="648"/>
      <c r="E18" s="648"/>
      <c r="F18" s="648"/>
      <c r="G18" s="648"/>
      <c r="H18" s="601"/>
      <c r="I18" s="601"/>
      <c r="J18" s="609"/>
      <c r="N18" s="322"/>
      <c r="O18" s="322"/>
      <c r="P18" s="322"/>
      <c r="Q18" s="322"/>
      <c r="R18" s="322"/>
      <c r="S18" s="322"/>
      <c r="T18" s="322"/>
    </row>
    <row r="19" spans="2:20" ht="21" customHeight="1" thickBot="1">
      <c r="B19" s="648"/>
      <c r="C19" s="648"/>
      <c r="D19" s="648"/>
      <c r="E19" s="648"/>
      <c r="F19" s="648"/>
      <c r="G19" s="648"/>
      <c r="H19" s="627"/>
      <c r="I19" s="627"/>
      <c r="J19" s="671"/>
      <c r="N19" s="322"/>
      <c r="O19" s="322"/>
      <c r="P19" s="322"/>
      <c r="Q19" s="322"/>
      <c r="R19" s="322"/>
      <c r="S19" s="322"/>
      <c r="T19" s="322"/>
    </row>
    <row r="20" spans="2:20" ht="21" customHeight="1" thickTop="1">
      <c r="B20" s="690"/>
      <c r="C20" s="690"/>
      <c r="D20" s="690" t="s">
        <v>421</v>
      </c>
      <c r="E20" s="690"/>
      <c r="F20" s="690"/>
      <c r="G20" s="1312"/>
      <c r="H20" s="1315">
        <f>SUM(H7:H19)</f>
        <v>0</v>
      </c>
      <c r="I20" s="1315">
        <f>SUM(I7:I19)</f>
        <v>0</v>
      </c>
      <c r="J20" s="858">
        <f>SUM(J7:J19)</f>
        <v>0</v>
      </c>
      <c r="N20" s="322"/>
      <c r="O20" s="322"/>
      <c r="P20" s="322"/>
      <c r="Q20" s="322"/>
      <c r="R20" s="322"/>
      <c r="S20" s="322"/>
      <c r="T20" s="322"/>
    </row>
    <row r="21" spans="2:20" ht="21" customHeight="1" thickBot="1">
      <c r="B21" s="690" t="s">
        <v>3427</v>
      </c>
      <c r="C21" s="1313"/>
      <c r="D21" s="1313"/>
      <c r="E21" s="690"/>
      <c r="F21" s="690"/>
      <c r="G21" s="1307" t="s">
        <v>3426</v>
      </c>
      <c r="H21" s="654"/>
      <c r="I21" s="654"/>
      <c r="J21" s="1118">
        <f>I21-H21</f>
        <v>0</v>
      </c>
      <c r="N21" s="322"/>
      <c r="O21" s="322"/>
      <c r="P21" s="322"/>
      <c r="Q21" s="322"/>
      <c r="R21" s="322"/>
      <c r="S21" s="322"/>
      <c r="T21" s="322"/>
    </row>
    <row r="22" spans="2:20" ht="21" customHeight="1" thickTop="1" thickBot="1">
      <c r="B22" s="1114"/>
      <c r="C22" s="1114"/>
      <c r="D22" s="1114"/>
      <c r="E22" s="1114"/>
      <c r="F22" s="1114"/>
      <c r="G22" s="1314" t="s">
        <v>3425</v>
      </c>
      <c r="H22" s="1316">
        <f>+H20+H21</f>
        <v>0</v>
      </c>
      <c r="I22" s="1316">
        <f>+I20+I21</f>
        <v>0</v>
      </c>
      <c r="J22" s="1311">
        <f>+J20+J21</f>
        <v>0</v>
      </c>
      <c r="L22" s="399" t="s">
        <v>3406</v>
      </c>
      <c r="N22" s="322"/>
      <c r="O22" s="322"/>
      <c r="P22" s="322"/>
      <c r="Q22" s="322"/>
      <c r="R22" s="322"/>
      <c r="S22" s="322"/>
      <c r="T22" s="322"/>
    </row>
    <row r="23" spans="2:20" ht="13.8" thickTop="1">
      <c r="B23" s="427" t="s">
        <v>3424</v>
      </c>
      <c r="N23" s="322"/>
      <c r="O23" s="322"/>
      <c r="P23" s="322"/>
      <c r="Q23" s="322"/>
      <c r="R23" s="322"/>
      <c r="S23" s="322"/>
      <c r="T23" s="322"/>
    </row>
    <row r="24" spans="2:20">
      <c r="B24" s="427" t="s">
        <v>3423</v>
      </c>
      <c r="N24" s="322"/>
      <c r="O24" s="322"/>
      <c r="P24" s="322"/>
      <c r="Q24" s="322"/>
      <c r="R24" s="322"/>
      <c r="S24" s="322"/>
      <c r="T24" s="322"/>
    </row>
    <row r="25" spans="2:20">
      <c r="N25" s="322"/>
      <c r="O25" s="322"/>
      <c r="P25" s="322"/>
      <c r="Q25" s="322"/>
      <c r="R25" s="322"/>
      <c r="S25" s="322"/>
      <c r="T25" s="322"/>
    </row>
    <row r="26" spans="2:20">
      <c r="N26" s="322"/>
      <c r="O26" s="322"/>
      <c r="P26" s="322"/>
      <c r="Q26" s="322"/>
      <c r="R26" s="322"/>
      <c r="S26" s="322"/>
      <c r="T26" s="322"/>
    </row>
    <row r="27" spans="2:20" ht="17.25" customHeight="1" thickBot="1">
      <c r="B27" s="1919" t="s">
        <v>426</v>
      </c>
      <c r="C27" s="1919"/>
      <c r="D27" s="1919"/>
      <c r="E27" s="1919"/>
      <c r="F27" s="1919"/>
      <c r="G27" s="1919"/>
      <c r="H27" s="1919"/>
      <c r="I27" s="1919"/>
      <c r="J27" s="1919"/>
    </row>
    <row r="28" spans="2:20" ht="21" customHeight="1" thickTop="1">
      <c r="B28" s="1317" t="s">
        <v>427</v>
      </c>
      <c r="C28" s="1318"/>
      <c r="D28" s="1318"/>
      <c r="E28" s="1318"/>
      <c r="F28" s="1318"/>
      <c r="G28" s="1318"/>
      <c r="H28" s="1318"/>
      <c r="I28" s="1319"/>
      <c r="J28" s="1320" t="s">
        <v>787</v>
      </c>
    </row>
    <row r="29" spans="2:20" ht="21" customHeight="1">
      <c r="B29" s="1321"/>
      <c r="C29" s="1322" t="s">
        <v>222</v>
      </c>
      <c r="D29" s="1322"/>
      <c r="E29" s="1322"/>
      <c r="F29" s="1322"/>
      <c r="G29" s="1322"/>
      <c r="H29" s="1322"/>
      <c r="I29" s="1323"/>
      <c r="J29" s="655"/>
    </row>
    <row r="30" spans="2:20" ht="21" customHeight="1">
      <c r="B30" s="1321"/>
      <c r="C30" s="1322" t="s">
        <v>428</v>
      </c>
      <c r="D30" s="1322"/>
      <c r="E30" s="1322"/>
      <c r="F30" s="1322"/>
      <c r="G30" s="1322"/>
      <c r="H30" s="1322"/>
      <c r="I30" s="1323"/>
      <c r="J30" s="655"/>
    </row>
    <row r="31" spans="2:20" ht="21" customHeight="1" thickBot="1">
      <c r="B31" s="1321"/>
      <c r="C31" s="1322" t="s">
        <v>429</v>
      </c>
      <c r="D31" s="1322"/>
      <c r="E31" s="1322"/>
      <c r="F31" s="1322"/>
      <c r="G31" s="1322"/>
      <c r="H31" s="1322"/>
      <c r="I31" s="1323"/>
      <c r="J31" s="657"/>
    </row>
    <row r="32" spans="2:20" ht="21" customHeight="1" thickTop="1">
      <c r="B32" s="1321" t="s">
        <v>430</v>
      </c>
      <c r="C32" s="1322"/>
      <c r="D32" s="1322"/>
      <c r="E32" s="1322"/>
      <c r="F32" s="1322"/>
      <c r="G32" s="1322"/>
      <c r="H32" s="1322"/>
      <c r="I32" s="1324"/>
      <c r="J32" s="1325">
        <f>SUM(J29:J31)</f>
        <v>0</v>
      </c>
    </row>
    <row r="33" spans="2:13" ht="21" customHeight="1" thickBot="1">
      <c r="B33" s="1321" t="s">
        <v>431</v>
      </c>
      <c r="C33" s="1322"/>
      <c r="D33" s="1322"/>
      <c r="E33" s="1322"/>
      <c r="F33" s="1322"/>
      <c r="G33" s="1322"/>
      <c r="H33" s="1322"/>
      <c r="I33" s="1324"/>
      <c r="J33" s="657"/>
    </row>
    <row r="34" spans="2:13" ht="21" customHeight="1" thickTop="1">
      <c r="B34" s="1321" t="s">
        <v>916</v>
      </c>
      <c r="C34" s="1322"/>
      <c r="D34" s="1322"/>
      <c r="E34" s="1322"/>
      <c r="F34" s="1322"/>
      <c r="G34" s="1322"/>
      <c r="H34" s="1322"/>
      <c r="I34" s="1324"/>
      <c r="J34" s="1325">
        <f>+J32+J33</f>
        <v>0</v>
      </c>
    </row>
    <row r="35" spans="2:13" ht="21" customHeight="1">
      <c r="B35" s="1321" t="s">
        <v>432</v>
      </c>
      <c r="C35" s="1322"/>
      <c r="D35" s="1322"/>
      <c r="E35" s="1322"/>
      <c r="F35" s="1322"/>
      <c r="G35" s="1322"/>
      <c r="H35" s="1322"/>
      <c r="I35" s="1324"/>
      <c r="J35" s="1326"/>
    </row>
    <row r="36" spans="2:13" ht="21" customHeight="1">
      <c r="B36" s="1328"/>
      <c r="C36" s="1328" t="s">
        <v>753</v>
      </c>
      <c r="D36" s="1328"/>
      <c r="E36" s="1328"/>
      <c r="F36" s="1328"/>
      <c r="G36" s="1328"/>
      <c r="H36" s="1328"/>
      <c r="I36" s="658"/>
      <c r="J36" s="1327"/>
    </row>
    <row r="37" spans="2:13" ht="21" customHeight="1">
      <c r="B37" s="1328"/>
      <c r="C37" s="1328" t="s">
        <v>920</v>
      </c>
      <c r="D37" s="1328"/>
      <c r="E37" s="1328"/>
      <c r="F37" s="1328"/>
      <c r="G37" s="1328"/>
      <c r="H37" s="1328"/>
      <c r="I37" s="658"/>
      <c r="J37" s="1327"/>
    </row>
    <row r="38" spans="2:13" ht="21" customHeight="1" thickBot="1">
      <c r="B38" s="1328" t="s">
        <v>433</v>
      </c>
      <c r="C38" s="1328"/>
      <c r="D38" s="1328"/>
      <c r="E38" s="1328"/>
      <c r="F38" s="1328"/>
      <c r="G38" s="1328"/>
      <c r="H38" s="1328"/>
      <c r="I38" s="659"/>
      <c r="J38" s="655"/>
      <c r="M38" s="399"/>
    </row>
    <row r="39" spans="2:13" ht="21" customHeight="1" thickTop="1" thickBot="1">
      <c r="B39" s="1328" t="s">
        <v>921</v>
      </c>
      <c r="C39" s="1328"/>
      <c r="D39" s="1328"/>
      <c r="E39" s="1328"/>
      <c r="F39" s="1328"/>
      <c r="G39" s="1328"/>
      <c r="H39" s="1328"/>
      <c r="I39" s="1329"/>
      <c r="J39" s="1331">
        <f>SUM(I36:I38)</f>
        <v>0</v>
      </c>
    </row>
    <row r="40" spans="2:13" ht="21" customHeight="1" thickTop="1" thickBot="1">
      <c r="B40" s="1328" t="s">
        <v>434</v>
      </c>
      <c r="C40" s="1328"/>
      <c r="D40" s="1328"/>
      <c r="E40" s="1328"/>
      <c r="F40" s="1328"/>
      <c r="G40" s="1328"/>
      <c r="H40" s="1328"/>
      <c r="I40" s="1330"/>
      <c r="J40" s="1332">
        <f>+J34-J39</f>
        <v>0</v>
      </c>
      <c r="K40" s="399"/>
    </row>
    <row r="41" spans="2:13" ht="13.8" thickTop="1"/>
    <row r="42" spans="2:13">
      <c r="B42" s="427" t="s">
        <v>3422</v>
      </c>
      <c r="C42" s="427"/>
      <c r="D42" s="427"/>
      <c r="E42" s="427"/>
      <c r="F42" s="427"/>
    </row>
    <row r="43" spans="2:13">
      <c r="B43" s="427"/>
      <c r="C43" s="427" t="s">
        <v>3421</v>
      </c>
      <c r="D43" s="427"/>
      <c r="E43" s="427"/>
      <c r="F43" s="427"/>
    </row>
    <row r="44" spans="2:13">
      <c r="B44" s="427"/>
      <c r="C44" s="427"/>
      <c r="D44" s="427" t="s">
        <v>3420</v>
      </c>
      <c r="E44" s="427"/>
      <c r="F44" s="427"/>
      <c r="M44" s="399"/>
    </row>
    <row r="45" spans="2:13">
      <c r="B45" s="427"/>
      <c r="C45" s="427" t="s">
        <v>43</v>
      </c>
      <c r="D45" s="427"/>
      <c r="E45" s="427"/>
      <c r="F45" s="427"/>
    </row>
    <row r="46" spans="2:13">
      <c r="B46" s="427"/>
      <c r="C46" s="427" t="s">
        <v>3419</v>
      </c>
      <c r="D46" s="427"/>
      <c r="E46" s="427"/>
      <c r="F46" s="427"/>
    </row>
    <row r="47" spans="2:13">
      <c r="B47" s="427"/>
      <c r="C47" s="427"/>
      <c r="D47" s="427" t="s">
        <v>3418</v>
      </c>
      <c r="E47" s="427"/>
      <c r="F47" s="427"/>
    </row>
    <row r="48" spans="2:13">
      <c r="B48" s="427"/>
      <c r="C48" s="427"/>
      <c r="D48" s="427"/>
      <c r="E48" s="427"/>
      <c r="F48" s="427"/>
    </row>
    <row r="55" spans="2:10" ht="13.8">
      <c r="B55" s="1765" t="s">
        <v>3417</v>
      </c>
      <c r="C55" s="1765"/>
      <c r="D55" s="1765"/>
      <c r="E55" s="1765"/>
      <c r="F55" s="1765"/>
      <c r="G55" s="1765"/>
      <c r="H55" s="1765"/>
      <c r="I55" s="1765"/>
      <c r="J55" s="1765"/>
    </row>
  </sheetData>
  <sheetProtection password="CAF9" sheet="1" objects="1" scenarios="1"/>
  <customSheetViews>
    <customSheetView guid="{AC653BD0-46E3-42CB-9C76-32121A57B65A}">
      <selection activeCell="B14" sqref="B14"/>
      <pageMargins left="0.25" right="0.25" top="0.5" bottom="0.5" header="0.25" footer="0.25"/>
      <pageSetup paperSize="5" orientation="portrait" r:id="rId1"/>
      <headerFooter alignWithMargins="0"/>
    </customSheetView>
    <customSheetView guid="{B165479B-DC25-403C-9595-F1A88A4AA9A2}">
      <selection activeCell="B14" sqref="B14"/>
      <pageMargins left="0.25" right="0.25" top="0.5" bottom="0.5" header="0.25" footer="0.25"/>
      <pageSetup paperSize="5" orientation="portrait" r:id="rId2"/>
      <headerFooter alignWithMargins="0"/>
    </customSheetView>
    <customSheetView guid="{A64E4C9E-A3DA-4AAA-8607-F524450B9436}">
      <selection activeCell="B14" sqref="B14"/>
      <pageMargins left="0.25" right="0.25" top="0.5" bottom="0.5" header="0.25" footer="0.25"/>
      <pageSetup paperSize="5" orientation="portrait" r:id="rId3"/>
      <headerFooter alignWithMargins="0"/>
    </customSheetView>
    <customSheetView guid="{AB4FBD91-4533-473A-9702-569FF6402073}">
      <selection activeCell="B14" sqref="B14"/>
      <pageMargins left="0.25" right="0.25" top="0.5" bottom="0.5" header="0.25" footer="0.25"/>
      <pageSetup paperSize="5" orientation="portrait" r:id="rId4"/>
      <headerFooter alignWithMargins="0"/>
    </customSheetView>
  </customSheetViews>
  <mergeCells count="5">
    <mergeCell ref="B2:J2"/>
    <mergeCell ref="B4:J4"/>
    <mergeCell ref="B5:G6"/>
    <mergeCell ref="B27:J27"/>
    <mergeCell ref="B55:J55"/>
  </mergeCells>
  <pageMargins left="0.25" right="0.25" top="0.5" bottom="0.5" header="0.25" footer="0.25"/>
  <pageSetup paperSize="5" orientation="portrait" r:id="rId5"/>
  <headerFooter alignWithMargins="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0">
    <tabColor theme="2" tint="-0.249977111117893"/>
  </sheetPr>
  <dimension ref="B1:T57"/>
  <sheetViews>
    <sheetView zoomScaleNormal="100" zoomScaleSheetLayoutView="80" workbookViewId="0">
      <selection activeCell="B1" sqref="B1"/>
    </sheetView>
  </sheetViews>
  <sheetFormatPr defaultColWidth="8.88671875" defaultRowHeight="13.2"/>
  <cols>
    <col min="1" max="1" width="4.6640625" style="398" customWidth="1"/>
    <col min="2" max="2" width="6.109375" style="398" customWidth="1"/>
    <col min="3" max="3" width="3.33203125" style="398" customWidth="1"/>
    <col min="4" max="4" width="2.6640625" style="398" customWidth="1"/>
    <col min="5" max="5" width="8.88671875" style="398"/>
    <col min="6" max="6" width="5.88671875" style="398" customWidth="1"/>
    <col min="7" max="7" width="8.88671875" style="398"/>
    <col min="8" max="8" width="16" style="398" customWidth="1"/>
    <col min="9" max="9" width="8.88671875" style="398"/>
    <col min="10" max="11" width="16.6640625" style="398" customWidth="1"/>
    <col min="12" max="12" width="8.88671875" style="398"/>
    <col min="13" max="13" width="11.33203125" style="398" customWidth="1"/>
    <col min="14" max="16384" width="8.88671875" style="398"/>
  </cols>
  <sheetData>
    <row r="1" spans="2:20">
      <c r="B1" s="1114"/>
      <c r="C1" s="1114"/>
      <c r="D1" s="1114"/>
      <c r="E1" s="1114"/>
      <c r="F1" s="1114"/>
      <c r="G1" s="1114"/>
      <c r="H1" s="1114"/>
      <c r="I1" s="1114"/>
      <c r="J1" s="1114"/>
      <c r="K1" s="1114"/>
    </row>
    <row r="2" spans="2:20">
      <c r="B2" s="1114"/>
      <c r="C2" s="1114"/>
      <c r="D2" s="1114"/>
      <c r="E2" s="1114"/>
      <c r="F2" s="1114"/>
      <c r="G2" s="1114"/>
      <c r="H2" s="1114"/>
      <c r="I2" s="1114"/>
      <c r="J2" s="1114"/>
      <c r="K2" s="1114"/>
    </row>
    <row r="3" spans="2:20" ht="22.8">
      <c r="B3" s="1759" t="str">
        <f>"STATEMENT  OF  "&amp;TEXT('KEY INPUTS'!D34,"0")&amp;"  OPERATION"</f>
        <v>STATEMENT  OF  2019  OPERATION</v>
      </c>
      <c r="C3" s="1759"/>
      <c r="D3" s="1759"/>
      <c r="E3" s="1759"/>
      <c r="F3" s="1759"/>
      <c r="G3" s="1759"/>
      <c r="H3" s="1759"/>
      <c r="I3" s="1759"/>
      <c r="J3" s="1759"/>
      <c r="K3" s="1759"/>
    </row>
    <row r="4" spans="2:20">
      <c r="B4" s="1114"/>
      <c r="C4" s="1114"/>
      <c r="D4" s="1114"/>
      <c r="E4" s="1114"/>
      <c r="F4" s="1114"/>
      <c r="G4" s="1114"/>
      <c r="H4" s="1114"/>
      <c r="I4" s="1114"/>
      <c r="J4" s="1114"/>
      <c r="K4" s="1114"/>
    </row>
    <row r="5" spans="2:20" ht="20.399999999999999">
      <c r="B5" s="1788" t="str">
        <f>UPPER('KEY INPUTS'!D55)&amp;" UTILITY"</f>
        <v xml:space="preserve"> UTILITY</v>
      </c>
      <c r="C5" s="1788"/>
      <c r="D5" s="1788"/>
      <c r="E5" s="1788"/>
      <c r="F5" s="1788"/>
      <c r="G5" s="1788"/>
      <c r="H5" s="1788"/>
      <c r="I5" s="1788"/>
      <c r="J5" s="1788"/>
      <c r="K5" s="1788"/>
    </row>
    <row r="6" spans="2:20">
      <c r="B6" s="1114"/>
      <c r="C6" s="1114"/>
      <c r="D6" s="1114"/>
      <c r="E6" s="1114"/>
      <c r="F6" s="1114"/>
      <c r="G6" s="1114"/>
      <c r="H6" s="1114"/>
      <c r="I6" s="1114"/>
      <c r="J6" s="1114"/>
      <c r="K6" s="1114"/>
    </row>
    <row r="7" spans="2:20">
      <c r="B7" s="1114"/>
      <c r="C7" s="1114"/>
      <c r="D7" s="1114"/>
      <c r="E7" s="1114"/>
      <c r="F7" s="1114"/>
      <c r="G7" s="1114"/>
      <c r="H7" s="1114"/>
      <c r="I7" s="1114"/>
      <c r="J7" s="1114"/>
      <c r="K7" s="1114"/>
    </row>
    <row r="8" spans="2:20">
      <c r="B8" s="1114" t="s">
        <v>408</v>
      </c>
      <c r="C8" s="1189" t="str">
        <f>"Section 1 of this sheet is required to be filled out ONLY IF the "&amp;TEXT('KEY INPUTS'!D34,"0")&amp;" "&amp;PROPER('KEY INPUTS'!D55)&amp;" Utility Budget contained"</f>
        <v>Section 1 of this sheet is required to be filled out ONLY IF the 2019  Utility Budget contained</v>
      </c>
      <c r="D8" s="1114"/>
      <c r="E8" s="1114"/>
      <c r="F8" s="1114"/>
      <c r="G8" s="1114"/>
      <c r="H8" s="1114"/>
      <c r="I8" s="1114"/>
      <c r="J8" s="1114"/>
      <c r="K8" s="1114"/>
    </row>
    <row r="9" spans="2:20">
      <c r="B9" s="1114"/>
      <c r="C9" s="1114" t="s">
        <v>435</v>
      </c>
      <c r="D9" s="1114"/>
      <c r="E9" s="1114"/>
      <c r="F9" s="1114"/>
      <c r="G9" s="1114"/>
      <c r="H9" s="1114"/>
      <c r="I9" s="1114"/>
      <c r="J9" s="1114"/>
      <c r="K9" s="1114"/>
    </row>
    <row r="10" spans="2:20">
      <c r="B10" s="1114"/>
      <c r="C10" s="1114" t="s">
        <v>436</v>
      </c>
      <c r="D10" s="1114"/>
      <c r="E10" s="1114"/>
      <c r="F10" s="1114"/>
      <c r="G10" s="1114"/>
      <c r="H10" s="1114"/>
      <c r="I10" s="1114"/>
      <c r="J10" s="1114"/>
      <c r="K10" s="1114"/>
    </row>
    <row r="11" spans="2:20">
      <c r="B11" s="1114"/>
      <c r="C11" s="1167" t="s">
        <v>3437</v>
      </c>
      <c r="D11" s="1114"/>
      <c r="E11" s="1114"/>
      <c r="F11" s="1114"/>
      <c r="G11" s="1114"/>
      <c r="H11" s="1114"/>
      <c r="I11" s="1114"/>
      <c r="J11" s="1114"/>
      <c r="K11" s="1114"/>
    </row>
    <row r="12" spans="2:20">
      <c r="B12" s="1114"/>
      <c r="C12" s="1114"/>
      <c r="D12" s="1114"/>
      <c r="E12" s="1114"/>
      <c r="F12" s="1114"/>
      <c r="G12" s="1114"/>
      <c r="H12" s="1114"/>
      <c r="I12" s="1114"/>
      <c r="J12" s="1114"/>
      <c r="K12" s="1114"/>
    </row>
    <row r="13" spans="2:20" ht="17.399999999999999">
      <c r="B13" s="1168" t="s">
        <v>437</v>
      </c>
      <c r="C13" s="1114"/>
      <c r="D13" s="1114"/>
      <c r="E13" s="1114"/>
      <c r="F13" s="1114"/>
      <c r="G13" s="1114"/>
      <c r="H13" s="1114"/>
      <c r="I13" s="1114"/>
      <c r="J13" s="1114"/>
      <c r="K13" s="1114"/>
    </row>
    <row r="14" spans="2:20" ht="13.8" thickBot="1">
      <c r="B14" s="1169"/>
      <c r="C14" s="1169"/>
      <c r="D14" s="1169"/>
      <c r="E14" s="1169"/>
      <c r="F14" s="1169"/>
      <c r="G14" s="1169"/>
      <c r="H14" s="1169"/>
      <c r="I14" s="1169"/>
      <c r="J14" s="1169"/>
      <c r="K14" s="1169"/>
    </row>
    <row r="15" spans="2:20" ht="21" customHeight="1" thickTop="1">
      <c r="B15" s="1170" t="s">
        <v>438</v>
      </c>
      <c r="C15" s="1170"/>
      <c r="D15" s="1170"/>
      <c r="E15" s="1170"/>
      <c r="F15" s="1170"/>
      <c r="G15" s="1170"/>
      <c r="H15" s="1170"/>
      <c r="I15" s="1170"/>
      <c r="J15" s="1171" t="s">
        <v>787</v>
      </c>
      <c r="K15" s="841"/>
      <c r="N15" s="322"/>
      <c r="O15" s="322"/>
      <c r="P15" s="322"/>
      <c r="Q15" s="322"/>
      <c r="R15" s="322"/>
      <c r="S15" s="322"/>
      <c r="T15" s="322"/>
    </row>
    <row r="16" spans="2:20" ht="21" customHeight="1">
      <c r="B16" s="690"/>
      <c r="C16" s="690" t="s">
        <v>439</v>
      </c>
      <c r="D16" s="690"/>
      <c r="E16" s="690"/>
      <c r="F16" s="690"/>
      <c r="G16" s="690"/>
      <c r="H16" s="690"/>
      <c r="I16" s="690"/>
      <c r="J16" s="842">
        <f>+'44-Utility4'!I20</f>
        <v>0</v>
      </c>
      <c r="K16" s="841"/>
      <c r="N16" s="322"/>
      <c r="O16" s="322"/>
      <c r="P16" s="322"/>
      <c r="Q16" s="322"/>
      <c r="R16" s="322"/>
      <c r="S16" s="322"/>
      <c r="T16" s="322"/>
    </row>
    <row r="17" spans="2:20" ht="21" customHeight="1">
      <c r="B17" s="690"/>
      <c r="C17" s="690" t="s">
        <v>440</v>
      </c>
      <c r="D17" s="690"/>
      <c r="E17" s="690"/>
      <c r="F17" s="690"/>
      <c r="G17" s="690"/>
      <c r="H17" s="690"/>
      <c r="I17" s="690"/>
      <c r="J17" s="575"/>
      <c r="K17" s="841"/>
      <c r="N17" s="377"/>
      <c r="O17" s="322"/>
      <c r="P17" s="322"/>
      <c r="Q17" s="322"/>
      <c r="R17" s="322"/>
      <c r="S17" s="322"/>
      <c r="T17" s="322"/>
    </row>
    <row r="18" spans="2:20" ht="21" customHeight="1">
      <c r="B18" s="690"/>
      <c r="C18" s="914" t="str">
        <f>TEXT('KEY INPUTS'!D35,"0")&amp;" Appropriation Reserves Canceled in "&amp;TEXT('KEY INPUTS'!D34,0)</f>
        <v>2018 Appropriation Reserves Canceled in 2019</v>
      </c>
      <c r="D18" s="1172"/>
      <c r="E18" s="1172"/>
      <c r="F18" s="1172"/>
      <c r="G18" s="1172"/>
      <c r="H18" s="690"/>
      <c r="I18" s="690"/>
      <c r="J18" s="1029">
        <f>J48</f>
        <v>0</v>
      </c>
      <c r="K18" s="841"/>
      <c r="N18" s="322"/>
      <c r="O18" s="322"/>
      <c r="P18" s="322"/>
      <c r="Q18" s="322"/>
      <c r="R18" s="322"/>
      <c r="S18" s="322"/>
      <c r="T18" s="322"/>
    </row>
    <row r="19" spans="2:20" ht="21" customHeight="1">
      <c r="B19" s="690"/>
      <c r="C19" s="648"/>
      <c r="D19" s="648"/>
      <c r="E19" s="648"/>
      <c r="F19" s="648"/>
      <c r="G19" s="648"/>
      <c r="H19" s="648"/>
      <c r="I19" s="648"/>
      <c r="J19" s="374"/>
      <c r="K19" s="841"/>
      <c r="N19" s="322"/>
      <c r="O19" s="322"/>
      <c r="P19" s="322"/>
      <c r="Q19" s="322"/>
      <c r="R19" s="322"/>
      <c r="S19" s="322"/>
      <c r="T19" s="322"/>
    </row>
    <row r="20" spans="2:20" ht="21" customHeight="1">
      <c r="B20" s="690"/>
      <c r="C20" s="648"/>
      <c r="D20" s="648"/>
      <c r="E20" s="648"/>
      <c r="F20" s="648"/>
      <c r="G20" s="648"/>
      <c r="H20" s="648"/>
      <c r="I20" s="648"/>
      <c r="J20" s="374"/>
      <c r="K20" s="841"/>
      <c r="N20" s="322"/>
      <c r="O20" s="322"/>
      <c r="P20" s="322"/>
      <c r="Q20" s="322"/>
      <c r="R20" s="322"/>
      <c r="S20" s="322"/>
      <c r="T20" s="322"/>
    </row>
    <row r="21" spans="2:20" ht="21" customHeight="1">
      <c r="B21" s="690"/>
      <c r="C21" s="690" t="s">
        <v>441</v>
      </c>
      <c r="D21" s="690"/>
      <c r="E21" s="690"/>
      <c r="F21" s="690"/>
      <c r="G21" s="690"/>
      <c r="H21" s="690"/>
      <c r="I21" s="690"/>
      <c r="J21" s="575"/>
      <c r="K21" s="851">
        <f>SUM(J16:J20)</f>
        <v>0</v>
      </c>
      <c r="N21" s="322"/>
      <c r="O21" s="322"/>
      <c r="P21" s="322"/>
      <c r="Q21" s="322"/>
      <c r="R21" s="322"/>
      <c r="S21" s="322"/>
      <c r="T21" s="322"/>
    </row>
    <row r="22" spans="2:20" ht="21" customHeight="1">
      <c r="B22" s="690" t="s">
        <v>442</v>
      </c>
      <c r="C22" s="690"/>
      <c r="D22" s="690"/>
      <c r="E22" s="690"/>
      <c r="F22" s="690"/>
      <c r="G22" s="690"/>
      <c r="H22" s="690"/>
      <c r="I22" s="690"/>
      <c r="J22" s="1174" t="s">
        <v>787</v>
      </c>
      <c r="K22" s="841"/>
      <c r="N22" s="322"/>
      <c r="O22" s="322"/>
      <c r="P22" s="322"/>
      <c r="Q22" s="322"/>
      <c r="R22" s="322"/>
      <c r="S22" s="322"/>
      <c r="T22" s="322"/>
    </row>
    <row r="23" spans="2:20" ht="21" customHeight="1">
      <c r="B23" s="690"/>
      <c r="C23" s="690" t="s">
        <v>443</v>
      </c>
      <c r="D23" s="690"/>
      <c r="E23" s="690"/>
      <c r="F23" s="690"/>
      <c r="G23" s="690"/>
      <c r="H23" s="690"/>
      <c r="I23" s="690"/>
      <c r="J23" s="1174" t="s">
        <v>787</v>
      </c>
      <c r="K23" s="841"/>
      <c r="N23" s="322"/>
      <c r="O23" s="322"/>
      <c r="P23" s="322"/>
      <c r="Q23" s="322"/>
      <c r="R23" s="322"/>
      <c r="S23" s="322"/>
      <c r="T23" s="322"/>
    </row>
    <row r="24" spans="2:20" ht="21" customHeight="1">
      <c r="B24" s="690"/>
      <c r="C24" s="690"/>
      <c r="D24" s="690" t="s">
        <v>753</v>
      </c>
      <c r="E24" s="690"/>
      <c r="F24" s="690"/>
      <c r="G24" s="690"/>
      <c r="H24" s="690"/>
      <c r="I24" s="690"/>
      <c r="J24" s="842">
        <f>+'44-Utility4'!I36</f>
        <v>0</v>
      </c>
      <c r="K24" s="841"/>
      <c r="N24" s="322"/>
      <c r="O24" s="322"/>
      <c r="P24" s="322"/>
      <c r="Q24" s="322"/>
      <c r="R24" s="322"/>
      <c r="S24" s="322"/>
      <c r="T24" s="322"/>
    </row>
    <row r="25" spans="2:20" ht="21" customHeight="1">
      <c r="B25" s="690"/>
      <c r="C25" s="690"/>
      <c r="D25" s="690" t="s">
        <v>920</v>
      </c>
      <c r="E25" s="690"/>
      <c r="F25" s="690"/>
      <c r="G25" s="690"/>
      <c r="H25" s="690"/>
      <c r="I25" s="690"/>
      <c r="J25" s="842">
        <f>+'44-Utility4'!I37</f>
        <v>0</v>
      </c>
      <c r="K25" s="841"/>
      <c r="N25" s="322"/>
      <c r="O25" s="322"/>
      <c r="P25" s="322"/>
      <c r="Q25" s="322"/>
      <c r="R25" s="322"/>
      <c r="S25" s="322"/>
      <c r="T25" s="322"/>
    </row>
    <row r="26" spans="2:20" ht="21" customHeight="1">
      <c r="B26" s="690"/>
      <c r="C26" s="690" t="s">
        <v>444</v>
      </c>
      <c r="D26" s="690"/>
      <c r="E26" s="690"/>
      <c r="F26" s="690"/>
      <c r="G26" s="690"/>
      <c r="H26" s="690"/>
      <c r="I26" s="690"/>
      <c r="J26" s="575"/>
      <c r="K26" s="841"/>
      <c r="N26" s="322"/>
      <c r="O26" s="322"/>
      <c r="P26" s="322"/>
      <c r="Q26" s="322"/>
      <c r="R26" s="322"/>
      <c r="S26" s="322"/>
      <c r="T26" s="322"/>
    </row>
    <row r="27" spans="2:20" ht="21" customHeight="1">
      <c r="B27" s="690"/>
      <c r="C27" s="690" t="s">
        <v>445</v>
      </c>
      <c r="D27" s="690"/>
      <c r="E27" s="690"/>
      <c r="F27" s="690"/>
      <c r="G27" s="690"/>
      <c r="H27" s="690"/>
      <c r="I27" s="690"/>
      <c r="J27" s="575"/>
      <c r="K27" s="841"/>
      <c r="N27" s="322"/>
      <c r="O27" s="322"/>
      <c r="P27" s="322"/>
      <c r="Q27" s="322"/>
      <c r="R27" s="322"/>
      <c r="S27" s="322"/>
      <c r="T27" s="322"/>
    </row>
    <row r="28" spans="2:20" ht="21" customHeight="1" thickBot="1">
      <c r="B28" s="690"/>
      <c r="C28" s="648"/>
      <c r="D28" s="648"/>
      <c r="E28" s="648"/>
      <c r="F28" s="648"/>
      <c r="G28" s="648"/>
      <c r="H28" s="648"/>
      <c r="I28" s="648"/>
      <c r="J28" s="1022"/>
      <c r="K28" s="841"/>
      <c r="N28" s="322"/>
      <c r="O28" s="322"/>
      <c r="P28" s="322"/>
      <c r="Q28" s="322"/>
      <c r="R28" s="322"/>
      <c r="S28" s="322"/>
      <c r="T28" s="322"/>
    </row>
    <row r="29" spans="2:20" ht="21" customHeight="1">
      <c r="B29" s="690"/>
      <c r="C29" s="690"/>
      <c r="D29" s="690"/>
      <c r="E29" s="690"/>
      <c r="F29" s="690" t="s">
        <v>921</v>
      </c>
      <c r="G29" s="690"/>
      <c r="H29" s="690"/>
      <c r="I29" s="690"/>
      <c r="J29" s="848">
        <f>SUM(J24:J28)</f>
        <v>0</v>
      </c>
      <c r="K29" s="841"/>
      <c r="N29" s="322"/>
      <c r="O29" s="322"/>
      <c r="P29" s="322"/>
      <c r="Q29" s="322"/>
      <c r="R29" s="322"/>
      <c r="S29" s="322"/>
      <c r="T29" s="322"/>
    </row>
    <row r="30" spans="2:20" ht="11.25" customHeight="1">
      <c r="B30" s="1114"/>
      <c r="C30" s="1114"/>
      <c r="D30" s="1114"/>
      <c r="E30" s="1114"/>
      <c r="F30" s="1114" t="s">
        <v>949</v>
      </c>
      <c r="G30" s="1114" t="s">
        <v>950</v>
      </c>
      <c r="H30" s="1114"/>
      <c r="I30" s="1114"/>
      <c r="J30" s="1177"/>
      <c r="K30" s="841"/>
      <c r="N30" s="322"/>
      <c r="O30" s="322"/>
      <c r="P30" s="322"/>
      <c r="Q30" s="322"/>
      <c r="R30" s="322"/>
      <c r="S30" s="322"/>
      <c r="T30" s="322"/>
    </row>
    <row r="31" spans="2:20" ht="13.5" customHeight="1">
      <c r="B31" s="1128"/>
      <c r="C31" s="1128"/>
      <c r="D31" s="1128"/>
      <c r="E31" s="1128"/>
      <c r="F31" s="1128"/>
      <c r="G31" s="1128" t="s">
        <v>951</v>
      </c>
      <c r="H31" s="1128"/>
      <c r="I31" s="1178"/>
      <c r="J31" s="1489"/>
      <c r="K31" s="1175"/>
      <c r="N31" s="322"/>
      <c r="O31" s="322"/>
      <c r="P31" s="322"/>
      <c r="Q31" s="322"/>
      <c r="R31" s="322"/>
      <c r="S31" s="322"/>
      <c r="T31" s="322"/>
    </row>
    <row r="32" spans="2:20" ht="21" customHeight="1" thickBot="1">
      <c r="B32" s="1180"/>
      <c r="C32" s="1180"/>
      <c r="D32" s="1180" t="s">
        <v>952</v>
      </c>
      <c r="E32" s="1180"/>
      <c r="F32" s="1180"/>
      <c r="G32" s="1180"/>
      <c r="H32" s="1180"/>
      <c r="I32" s="1180"/>
      <c r="J32" s="1181"/>
      <c r="K32" s="1176">
        <f>+J29-J31</f>
        <v>0</v>
      </c>
    </row>
    <row r="33" spans="2:15" ht="21" customHeight="1" thickTop="1" thickBot="1">
      <c r="B33" s="1182" t="s">
        <v>953</v>
      </c>
      <c r="C33" s="1182"/>
      <c r="D33" s="1182"/>
      <c r="E33" s="1182"/>
      <c r="F33" s="1182"/>
      <c r="G33" s="1182"/>
      <c r="H33" s="1182"/>
      <c r="I33" s="1182"/>
      <c r="J33" s="1183"/>
      <c r="K33" s="1184">
        <f>IF(M33&gt;0,M33,0)</f>
        <v>0</v>
      </c>
      <c r="M33" s="399">
        <f>+K21-K32</f>
        <v>0</v>
      </c>
      <c r="N33" s="710" t="s">
        <v>3666</v>
      </c>
    </row>
    <row r="34" spans="2:15" ht="21" customHeight="1">
      <c r="B34" s="690" t="s">
        <v>954</v>
      </c>
      <c r="C34" s="690"/>
      <c r="D34" s="690"/>
      <c r="E34" s="690"/>
      <c r="F34" s="690"/>
      <c r="G34" s="690"/>
      <c r="H34" s="690"/>
      <c r="I34" s="690"/>
      <c r="J34" s="575"/>
      <c r="K34" s="841"/>
    </row>
    <row r="35" spans="2:15" ht="11.25" customHeight="1">
      <c r="B35" s="1800" t="s">
        <v>955</v>
      </c>
      <c r="C35" s="1800"/>
      <c r="D35" s="1800"/>
      <c r="E35" s="1189" t="str">
        <f>"Balance of Results of "&amp;TEXT('KEY INPUTS'!D34,"0")&amp;" Operation"</f>
        <v>Balance of Results of 2019 Operation</v>
      </c>
      <c r="F35" s="1114"/>
      <c r="G35" s="1114"/>
      <c r="H35" s="1114"/>
      <c r="I35" s="1114"/>
      <c r="J35" s="1177"/>
      <c r="K35" s="841"/>
    </row>
    <row r="36" spans="2:15" ht="12.75" customHeight="1" thickBot="1">
      <c r="B36" s="1801"/>
      <c r="C36" s="1801"/>
      <c r="D36" s="1801"/>
      <c r="E36" s="1128" t="s">
        <v>3782</v>
      </c>
      <c r="F36" s="1128"/>
      <c r="G36" s="1128"/>
      <c r="H36" s="1128"/>
      <c r="I36" s="1128"/>
      <c r="J36" s="1179">
        <f>+K33-J34</f>
        <v>0</v>
      </c>
      <c r="K36" s="841"/>
    </row>
    <row r="37" spans="2:15" ht="21" customHeight="1" thickBot="1">
      <c r="B37" s="1190"/>
      <c r="C37" s="1190"/>
      <c r="D37" s="1190"/>
      <c r="E37" s="1190"/>
      <c r="F37" s="1190"/>
      <c r="G37" s="1190"/>
      <c r="H37" s="1190"/>
      <c r="I37" s="1190"/>
      <c r="J37" s="1193"/>
      <c r="K37" s="1185"/>
    </row>
    <row r="38" spans="2:15" ht="21" customHeight="1" thickBot="1">
      <c r="B38" s="1191" t="s">
        <v>956</v>
      </c>
      <c r="C38" s="1191"/>
      <c r="D38" s="1191"/>
      <c r="E38" s="1191"/>
      <c r="F38" s="1191"/>
      <c r="G38" s="1191"/>
      <c r="H38" s="1191"/>
      <c r="I38" s="1191"/>
      <c r="J38" s="1194"/>
      <c r="K38" s="1186">
        <f>IF(+M33&gt;0,0,+M33*-1)</f>
        <v>0</v>
      </c>
    </row>
    <row r="39" spans="2:15" ht="21" customHeight="1">
      <c r="B39" s="690" t="s">
        <v>957</v>
      </c>
      <c r="C39" s="690"/>
      <c r="D39" s="690"/>
      <c r="E39" s="690"/>
      <c r="F39" s="690"/>
      <c r="G39" s="690"/>
      <c r="H39" s="690"/>
      <c r="I39" s="690"/>
      <c r="J39" s="1194">
        <f>+'44-Utility4'!I21</f>
        <v>0</v>
      </c>
      <c r="K39" s="841"/>
    </row>
    <row r="40" spans="2:15">
      <c r="B40" s="1802" t="s">
        <v>955</v>
      </c>
      <c r="C40" s="1802"/>
      <c r="D40" s="1802"/>
      <c r="E40" s="1189" t="str">
        <f>"Balance of Results of "&amp;TEXT('KEY INPUTS'!D34,"0")&amp;" Operation"</f>
        <v>Balance of Results of 2019 Operation</v>
      </c>
      <c r="F40" s="1192"/>
      <c r="G40" s="1192"/>
      <c r="H40" s="1192"/>
      <c r="I40" s="1192"/>
      <c r="J40" s="1177"/>
      <c r="K40" s="1187"/>
    </row>
    <row r="41" spans="2:15" ht="13.8" thickBot="1">
      <c r="B41" s="1803"/>
      <c r="C41" s="1803"/>
      <c r="D41" s="1803"/>
      <c r="E41" s="1169" t="s">
        <v>3436</v>
      </c>
      <c r="F41" s="1169"/>
      <c r="G41" s="1169"/>
      <c r="H41" s="1169"/>
      <c r="I41" s="1169"/>
      <c r="J41" s="1195">
        <f>+K38-J39</f>
        <v>0</v>
      </c>
      <c r="K41" s="1188"/>
      <c r="L41" s="739"/>
      <c r="O41" s="399"/>
    </row>
    <row r="42" spans="2:15" ht="13.8" thickTop="1">
      <c r="J42" s="464"/>
      <c r="K42" s="464"/>
    </row>
    <row r="43" spans="2:15" ht="17.399999999999999">
      <c r="B43" s="1168" t="s">
        <v>958</v>
      </c>
      <c r="C43" s="1114"/>
      <c r="D43" s="1114"/>
      <c r="E43" s="1114"/>
      <c r="F43" s="1114"/>
      <c r="G43" s="1114"/>
      <c r="H43" s="1114"/>
      <c r="I43" s="1114"/>
      <c r="J43" s="841"/>
      <c r="K43" s="841"/>
    </row>
    <row r="44" spans="2:15">
      <c r="B44" s="1189" t="str">
        <f>"The following Item of '"&amp;TEXT('KEY INPUTS'!D35,"0")&amp;" Appropriation Reserves Canceled in "&amp;TEXT('KEY INPUTS'!D34,"0")&amp;"' ""is Due to the Current Fund TO THE"</f>
        <v>The following Item of '2018 Appropriation Reserves Canceled in 2019' "is Due to the Current Fund TO THE</v>
      </c>
      <c r="C44" s="1114"/>
      <c r="D44" s="1114"/>
      <c r="E44" s="1114"/>
      <c r="F44" s="1114"/>
      <c r="G44" s="1114"/>
      <c r="H44" s="1114"/>
      <c r="I44" s="1114"/>
      <c r="J44" s="841"/>
      <c r="K44" s="841"/>
    </row>
    <row r="45" spans="2:15">
      <c r="B45" s="1189" t="str">
        <f>"EXTENT OF the amount received and Due from the General Budget of "&amp;TEXT('KEY INPUTS'!D34,"0")&amp;" for an Anticipated Deficit in the"</f>
        <v>EXTENT OF the amount received and Due from the General Budget of 2019 for an Anticipated Deficit in the</v>
      </c>
      <c r="C45" s="1114"/>
      <c r="D45" s="1114"/>
      <c r="E45" s="1114"/>
      <c r="F45" s="1114"/>
      <c r="G45" s="1114"/>
      <c r="H45" s="1114"/>
      <c r="I45" s="1114"/>
      <c r="J45" s="841"/>
      <c r="K45" s="841"/>
    </row>
    <row r="46" spans="2:15">
      <c r="B46" s="1189" t="str">
        <f>PROPER('KEY INPUTS'!D55)&amp;" Utility for "&amp;TEXT('KEY INPUTS'!D34,"0")&amp;""</f>
        <v xml:space="preserve"> Utility for 2019</v>
      </c>
      <c r="C46" s="1114"/>
      <c r="D46" s="1114"/>
      <c r="E46" s="1114"/>
      <c r="F46" s="1114"/>
      <c r="G46" s="1114"/>
      <c r="H46" s="1114"/>
      <c r="I46" s="1114"/>
      <c r="J46" s="841"/>
      <c r="K46" s="841"/>
      <c r="O46" s="322"/>
    </row>
    <row r="47" spans="2:15">
      <c r="B47" s="1114"/>
      <c r="C47" s="1114"/>
      <c r="D47" s="1114"/>
      <c r="E47" s="1114"/>
      <c r="F47" s="1114"/>
      <c r="G47" s="1114"/>
      <c r="H47" s="1114"/>
      <c r="I47" s="1114"/>
      <c r="J47" s="841"/>
      <c r="K47" s="841"/>
      <c r="O47" s="322"/>
    </row>
    <row r="48" spans="2:15" ht="21" customHeight="1">
      <c r="B48" s="914" t="str">
        <f>TEXT('KEY INPUTS'!D35,"0")&amp;" Appropriation Reserves Canceled in "&amp;TEXT('KEY INPUTS'!D34,0)</f>
        <v>2018 Appropriation Reserves Canceled in 2019</v>
      </c>
      <c r="C48" s="690"/>
      <c r="D48" s="690"/>
      <c r="E48" s="690"/>
      <c r="F48" s="690"/>
      <c r="G48" s="690"/>
      <c r="H48" s="690"/>
      <c r="I48" s="690"/>
      <c r="J48" s="374"/>
      <c r="K48" s="841"/>
      <c r="O48" s="322"/>
    </row>
    <row r="49" spans="2:15" ht="24" customHeight="1">
      <c r="B49" s="690"/>
      <c r="C49" s="1196" t="s">
        <v>949</v>
      </c>
      <c r="D49" s="690"/>
      <c r="E49" s="1798" t="str">
        <f>"Anticipated Deficit in "&amp;TEXT('KEY INPUTS'!D34,"0")&amp;" Budget - Amount Received and Due from Current Fund - If none, enter 'None '"""</f>
        <v>Anticipated Deficit in 2019 Budget - Amount Received and Due from Current Fund - If none, enter 'None '"</v>
      </c>
      <c r="F49" s="1798"/>
      <c r="G49" s="1798"/>
      <c r="H49" s="1798"/>
      <c r="I49" s="1799"/>
      <c r="J49" s="575"/>
      <c r="K49" s="841"/>
      <c r="O49" s="322"/>
    </row>
    <row r="50" spans="2:15" ht="21" customHeight="1">
      <c r="B50" s="690" t="s">
        <v>959</v>
      </c>
      <c r="C50" s="690"/>
      <c r="D50" s="690"/>
      <c r="E50" s="690"/>
      <c r="F50" s="690"/>
      <c r="G50" s="690"/>
      <c r="H50" s="690"/>
      <c r="I50" s="690"/>
      <c r="J50" s="663"/>
      <c r="K50" s="851">
        <f>+J48-J49</f>
        <v>0</v>
      </c>
    </row>
    <row r="52" spans="2:15">
      <c r="B52" s="463" t="s">
        <v>3435</v>
      </c>
    </row>
    <row r="53" spans="2:15">
      <c r="B53" s="463"/>
    </row>
    <row r="54" spans="2:15">
      <c r="B54" s="463"/>
    </row>
    <row r="55" spans="2:15">
      <c r="B55" s="463"/>
    </row>
    <row r="56" spans="2:15">
      <c r="B56" s="463"/>
    </row>
    <row r="57" spans="2:15" ht="13.8">
      <c r="B57" s="1765" t="s">
        <v>3434</v>
      </c>
      <c r="C57" s="1765"/>
      <c r="D57" s="1765"/>
      <c r="E57" s="1765"/>
      <c r="F57" s="1765"/>
      <c r="G57" s="1765"/>
      <c r="H57" s="1765"/>
      <c r="I57" s="1765"/>
      <c r="J57" s="1765"/>
      <c r="K57" s="176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6">
    <mergeCell ref="B57:K57"/>
    <mergeCell ref="B3:K3"/>
    <mergeCell ref="B5:K5"/>
    <mergeCell ref="B35:D36"/>
    <mergeCell ref="B40:D41"/>
    <mergeCell ref="E49:I49"/>
  </mergeCells>
  <pageMargins left="0.25" right="0.25" top="0.5" bottom="0.5" header="0.25" footer="0.25"/>
  <pageSetup paperSize="5" orientation="portrait" r:id="rId5"/>
  <headerFooter alignWithMargins="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1">
    <tabColor theme="2" tint="-0.249977111117893"/>
  </sheetPr>
  <dimension ref="B1:Z52"/>
  <sheetViews>
    <sheetView zoomScaleNormal="100" zoomScaleSheetLayoutView="80" workbookViewId="0"/>
  </sheetViews>
  <sheetFormatPr defaultColWidth="8.88671875" defaultRowHeight="13.2"/>
  <cols>
    <col min="1" max="5" width="4.6640625" style="398" customWidth="1"/>
    <col min="6" max="8" width="8.88671875" style="398"/>
    <col min="9" max="9" width="6.33203125" style="398" customWidth="1"/>
    <col min="10" max="10" width="8.88671875" style="398"/>
    <col min="11" max="12" width="16.6640625" style="398" customWidth="1"/>
    <col min="13" max="13" width="13.5546875" style="398" bestFit="1" customWidth="1"/>
    <col min="14" max="14" width="11.88671875" style="398" bestFit="1" customWidth="1"/>
    <col min="15" max="16384" width="8.88671875" style="398"/>
  </cols>
  <sheetData>
    <row r="1" spans="2:26">
      <c r="B1" s="1114"/>
      <c r="C1" s="1114"/>
      <c r="D1" s="1114"/>
      <c r="E1" s="1114"/>
      <c r="F1" s="1114"/>
      <c r="G1" s="1114"/>
      <c r="H1" s="1114"/>
      <c r="I1" s="1114"/>
      <c r="J1" s="1114"/>
      <c r="K1" s="1114"/>
      <c r="L1" s="1114"/>
    </row>
    <row r="2" spans="2:26" ht="20.399999999999999">
      <c r="B2" s="1788" t="str">
        <f>"RESULTS  OF  "&amp;TEXT('KEY INPUTS'!D34,"0")&amp;"  OPERATIONS  - "&amp;UPPER('KEY INPUTS'!D55)&amp;" UTILITY"</f>
        <v>RESULTS  OF  2019  OPERATIONS  -  UTILITY</v>
      </c>
      <c r="C2" s="1788"/>
      <c r="D2" s="1788"/>
      <c r="E2" s="1788"/>
      <c r="F2" s="1788"/>
      <c r="G2" s="1788"/>
      <c r="H2" s="1788"/>
      <c r="I2" s="1788"/>
      <c r="J2" s="1788"/>
      <c r="K2" s="1788"/>
      <c r="L2" s="1788"/>
    </row>
    <row r="3" spans="2:26" ht="13.8" thickBot="1">
      <c r="B3" s="1114"/>
      <c r="C3" s="1114"/>
      <c r="D3" s="1114"/>
      <c r="E3" s="1114"/>
      <c r="F3" s="1114"/>
      <c r="G3" s="1114"/>
      <c r="H3" s="1114"/>
      <c r="I3" s="1114"/>
      <c r="J3" s="1114"/>
      <c r="K3" s="1114"/>
      <c r="L3" s="1114"/>
    </row>
    <row r="4" spans="2:26" ht="21" customHeight="1" thickTop="1" thickBot="1">
      <c r="B4" s="1333"/>
      <c r="C4" s="1333"/>
      <c r="D4" s="1333"/>
      <c r="E4" s="1333"/>
      <c r="F4" s="1333"/>
      <c r="G4" s="1333"/>
      <c r="H4" s="1333"/>
      <c r="I4" s="1333"/>
      <c r="J4" s="1333"/>
      <c r="K4" s="1115" t="s">
        <v>125</v>
      </c>
      <c r="L4" s="1116" t="s">
        <v>126</v>
      </c>
    </row>
    <row r="5" spans="2:26" ht="21" customHeight="1" thickTop="1">
      <c r="B5" s="1210" t="s">
        <v>270</v>
      </c>
      <c r="C5" s="1170"/>
      <c r="D5" s="1170"/>
      <c r="E5" s="1170"/>
      <c r="F5" s="1170"/>
      <c r="G5" s="1170"/>
      <c r="H5" s="1170"/>
      <c r="I5" s="1170"/>
      <c r="J5" s="1170"/>
      <c r="K5" s="1202" t="s">
        <v>787</v>
      </c>
      <c r="L5" s="1203">
        <f>IF(+'44-Utility4'!J20&gt;0,+'44-Utility4'!J22,0)</f>
        <v>0</v>
      </c>
      <c r="N5" s="322"/>
      <c r="O5" s="322"/>
      <c r="P5" s="322"/>
      <c r="Q5" s="322"/>
      <c r="R5" s="322"/>
      <c r="S5" s="322"/>
      <c r="T5" s="322"/>
    </row>
    <row r="6" spans="2:26" ht="21" customHeight="1">
      <c r="B6" s="696" t="s">
        <v>271</v>
      </c>
      <c r="C6" s="690"/>
      <c r="D6" s="690"/>
      <c r="E6" s="690"/>
      <c r="F6" s="690"/>
      <c r="G6" s="690"/>
      <c r="H6" s="690"/>
      <c r="I6" s="690"/>
      <c r="J6" s="690"/>
      <c r="K6" s="1204" t="s">
        <v>787</v>
      </c>
      <c r="L6" s="1124">
        <f>+'44-Utility4'!J40</f>
        <v>0</v>
      </c>
      <c r="M6" s="739"/>
      <c r="N6" s="322"/>
      <c r="O6" s="322"/>
      <c r="P6" s="322"/>
      <c r="Q6" s="322"/>
      <c r="R6" s="322"/>
      <c r="S6" s="322"/>
      <c r="T6" s="322"/>
    </row>
    <row r="7" spans="2:26" ht="21" customHeight="1">
      <c r="B7" s="696" t="s">
        <v>272</v>
      </c>
      <c r="C7" s="690"/>
      <c r="D7" s="690"/>
      <c r="E7" s="690"/>
      <c r="F7" s="690"/>
      <c r="G7" s="690"/>
      <c r="H7" s="690"/>
      <c r="I7" s="690"/>
      <c r="J7" s="690"/>
      <c r="K7" s="1204" t="s">
        <v>787</v>
      </c>
      <c r="L7" s="1124">
        <f>'45-Utility4'!J17</f>
        <v>0</v>
      </c>
      <c r="N7" s="377"/>
      <c r="O7" s="322"/>
      <c r="P7" s="322"/>
      <c r="Q7" s="322"/>
      <c r="R7" s="322"/>
      <c r="S7" s="322"/>
      <c r="T7" s="322"/>
    </row>
    <row r="8" spans="2:26" ht="21" customHeight="1">
      <c r="B8" s="1114" t="str">
        <f>"Unexpended Balances of "&amp;TEXT('KEY INPUTS'!D35,"0")&amp;" Appropriations*"</f>
        <v>Unexpended Balances of 2018 Appropriations*</v>
      </c>
      <c r="C8" s="690"/>
      <c r="D8" s="690"/>
      <c r="E8" s="690"/>
      <c r="F8" s="690"/>
      <c r="G8" s="690"/>
      <c r="H8" s="690"/>
      <c r="I8" s="690"/>
      <c r="J8" s="690"/>
      <c r="K8" s="1204" t="s">
        <v>787</v>
      </c>
      <c r="L8" s="1124">
        <f>+'45-Utility4'!K50</f>
        <v>0</v>
      </c>
      <c r="N8" s="322"/>
      <c r="O8" s="322"/>
      <c r="P8" s="322"/>
      <c r="Q8" s="322"/>
      <c r="R8" s="322"/>
      <c r="S8" s="322"/>
      <c r="T8" s="322"/>
    </row>
    <row r="9" spans="2:26" ht="21" customHeight="1">
      <c r="B9" s="705"/>
      <c r="C9" s="648"/>
      <c r="D9" s="648"/>
      <c r="E9" s="648"/>
      <c r="F9" s="648"/>
      <c r="G9" s="648"/>
      <c r="H9" s="648"/>
      <c r="I9" s="690"/>
      <c r="J9" s="690"/>
      <c r="K9" s="658"/>
      <c r="L9" s="609"/>
      <c r="N9" s="322"/>
      <c r="O9" s="322"/>
      <c r="P9" s="322"/>
      <c r="Q9" s="322"/>
      <c r="R9" s="322"/>
      <c r="S9" s="322"/>
      <c r="T9" s="322"/>
    </row>
    <row r="10" spans="2:26" ht="21" customHeight="1">
      <c r="B10" s="1114" t="s">
        <v>3441</v>
      </c>
      <c r="C10" s="1114"/>
      <c r="D10" s="1114"/>
      <c r="E10" s="1114"/>
      <c r="F10" s="1114"/>
      <c r="G10" s="1114"/>
      <c r="H10" s="1114"/>
      <c r="I10" s="1114"/>
      <c r="J10" s="1114"/>
      <c r="K10" s="1198"/>
      <c r="L10" s="1206" t="s">
        <v>787</v>
      </c>
      <c r="M10" s="399">
        <f>+L9+L8+L7+L6+L5-K11-K10-K9</f>
        <v>0</v>
      </c>
      <c r="N10" s="710" t="s">
        <v>3491</v>
      </c>
      <c r="O10" s="322"/>
      <c r="P10" s="322"/>
      <c r="Q10" s="322"/>
      <c r="R10" s="322"/>
      <c r="S10" s="322"/>
      <c r="T10" s="322"/>
      <c r="V10" s="477">
        <f>-'44-Utility4'!U22</f>
        <v>0</v>
      </c>
    </row>
    <row r="11" spans="2:26" ht="21" customHeight="1">
      <c r="B11" s="702"/>
      <c r="C11" s="1199"/>
      <c r="D11" s="648"/>
      <c r="E11" s="648"/>
      <c r="F11" s="648"/>
      <c r="G11" s="648"/>
      <c r="H11" s="648"/>
      <c r="I11" s="690"/>
      <c r="J11" s="690"/>
      <c r="K11" s="601"/>
      <c r="L11" s="1206" t="s">
        <v>787</v>
      </c>
      <c r="N11" s="322"/>
      <c r="O11" s="322"/>
      <c r="P11" s="322"/>
      <c r="Q11" s="322"/>
      <c r="R11" s="322"/>
      <c r="S11" s="322"/>
      <c r="T11" s="322"/>
      <c r="U11" s="322"/>
      <c r="V11" s="322"/>
      <c r="W11" s="322"/>
      <c r="X11" s="322"/>
      <c r="Y11" s="322"/>
      <c r="Z11" s="322"/>
    </row>
    <row r="12" spans="2:26" ht="21" customHeight="1">
      <c r="B12" s="696" t="s">
        <v>273</v>
      </c>
      <c r="C12" s="1172"/>
      <c r="D12" s="690"/>
      <c r="E12" s="690"/>
      <c r="F12" s="690"/>
      <c r="G12" s="690"/>
      <c r="H12" s="690"/>
      <c r="I12" s="690"/>
      <c r="J12" s="690"/>
      <c r="K12" s="1204" t="s">
        <v>787</v>
      </c>
      <c r="L12" s="1205">
        <f>IF(M10&gt;0,0,M10*-1)</f>
        <v>0</v>
      </c>
      <c r="N12" s="322"/>
      <c r="O12" s="322"/>
      <c r="P12" s="322"/>
      <c r="Q12" s="322"/>
      <c r="R12" s="322"/>
      <c r="S12" s="322"/>
      <c r="T12" s="322"/>
      <c r="U12" s="322"/>
      <c r="V12" s="322"/>
      <c r="W12" s="322"/>
      <c r="X12" s="322"/>
      <c r="Y12" s="322"/>
      <c r="Z12" s="322"/>
    </row>
    <row r="13" spans="2:26" ht="21" customHeight="1" thickBot="1">
      <c r="B13" s="696" t="s">
        <v>274</v>
      </c>
      <c r="C13" s="1172"/>
      <c r="D13" s="690"/>
      <c r="E13" s="690"/>
      <c r="F13" s="690"/>
      <c r="G13" s="690"/>
      <c r="H13" s="690"/>
      <c r="I13" s="690"/>
      <c r="J13" s="690"/>
      <c r="K13" s="689">
        <f>IF(M10&gt;0,M10,0)</f>
        <v>0</v>
      </c>
      <c r="L13" s="1207" t="s">
        <v>787</v>
      </c>
      <c r="M13" s="399"/>
      <c r="N13" s="322"/>
      <c r="O13" s="322"/>
      <c r="P13" s="322"/>
      <c r="Q13" s="322"/>
      <c r="R13" s="322"/>
      <c r="S13" s="322"/>
      <c r="T13" s="322"/>
      <c r="U13" s="322"/>
      <c r="V13" s="476">
        <f>U11</f>
        <v>0</v>
      </c>
      <c r="W13" s="322"/>
      <c r="X13" s="322"/>
      <c r="Y13" s="322"/>
      <c r="Z13" s="322"/>
    </row>
    <row r="14" spans="2:26" ht="21" customHeight="1" thickBot="1">
      <c r="B14" s="1209" t="s">
        <v>3440</v>
      </c>
      <c r="C14" s="1114"/>
      <c r="D14" s="1114"/>
      <c r="E14" s="1114"/>
      <c r="F14" s="1114"/>
      <c r="G14" s="1114"/>
      <c r="H14" s="1114"/>
      <c r="I14" s="1114"/>
      <c r="J14" s="1114"/>
      <c r="K14" s="1131">
        <f>SUM(K5:K13)</f>
        <v>0</v>
      </c>
      <c r="L14" s="1132">
        <f>SUM(L5:L13)</f>
        <v>0</v>
      </c>
      <c r="M14" s="399">
        <f>L14-K14</f>
        <v>0</v>
      </c>
      <c r="N14" s="322"/>
      <c r="O14" s="322"/>
      <c r="P14" s="322"/>
      <c r="Q14" s="322"/>
      <c r="R14" s="322"/>
      <c r="S14" s="322"/>
      <c r="T14" s="322"/>
      <c r="U14" s="322"/>
      <c r="V14" s="322"/>
      <c r="W14" s="322"/>
      <c r="X14" s="322"/>
      <c r="Y14" s="322"/>
      <c r="Z14" s="322"/>
    </row>
    <row r="15" spans="2:26" ht="18.75" customHeight="1" thickTop="1">
      <c r="N15" s="322"/>
      <c r="O15" s="322"/>
      <c r="P15" s="322"/>
      <c r="Q15" s="322"/>
      <c r="R15" s="322"/>
      <c r="S15" s="322"/>
      <c r="T15" s="322"/>
    </row>
    <row r="16" spans="2:26" ht="18.75" customHeight="1">
      <c r="K16" s="399"/>
      <c r="N16" s="322"/>
      <c r="O16" s="322"/>
      <c r="P16" s="322"/>
      <c r="Q16" s="322"/>
      <c r="R16" s="322"/>
      <c r="S16" s="322"/>
      <c r="T16" s="322"/>
    </row>
    <row r="17" spans="2:20" ht="22.8">
      <c r="B17" s="1759" t="str">
        <f>"OPERATING  SURPLUS  - "&amp;UPPER('KEY INPUTS'!D55)&amp;" UTILITY"</f>
        <v>OPERATING  SURPLUS  -  UTILITY</v>
      </c>
      <c r="C17" s="1759"/>
      <c r="D17" s="1759"/>
      <c r="E17" s="1759"/>
      <c r="F17" s="1759"/>
      <c r="G17" s="1759"/>
      <c r="H17" s="1759"/>
      <c r="I17" s="1759"/>
      <c r="J17" s="1759"/>
      <c r="K17" s="1759"/>
      <c r="L17" s="1759"/>
      <c r="N17" s="322"/>
      <c r="O17" s="322"/>
      <c r="P17" s="322"/>
      <c r="Q17" s="322"/>
      <c r="R17" s="322"/>
      <c r="S17" s="322"/>
      <c r="T17" s="322"/>
    </row>
    <row r="18" spans="2:20" ht="6.75" customHeight="1" thickBot="1">
      <c r="B18" s="1114"/>
      <c r="C18" s="1114"/>
      <c r="D18" s="1114"/>
      <c r="E18" s="1114"/>
      <c r="F18" s="1114"/>
      <c r="G18" s="1114"/>
      <c r="H18" s="1114"/>
      <c r="I18" s="1114"/>
      <c r="J18" s="1114"/>
      <c r="K18" s="1114"/>
      <c r="L18" s="1114"/>
      <c r="N18" s="322"/>
      <c r="O18" s="322"/>
      <c r="P18" s="322"/>
      <c r="Q18" s="322"/>
      <c r="R18" s="322"/>
      <c r="S18" s="322"/>
      <c r="T18" s="322"/>
    </row>
    <row r="19" spans="2:20" ht="25.5" customHeight="1" thickTop="1" thickBot="1">
      <c r="B19" s="1333"/>
      <c r="C19" s="1333"/>
      <c r="D19" s="1333"/>
      <c r="E19" s="1333"/>
      <c r="F19" s="1333"/>
      <c r="G19" s="1333"/>
      <c r="H19" s="1333"/>
      <c r="I19" s="1333"/>
      <c r="J19" s="1333"/>
      <c r="K19" s="1115" t="s">
        <v>125</v>
      </c>
      <c r="L19" s="1116" t="s">
        <v>126</v>
      </c>
      <c r="N19" s="322"/>
      <c r="O19" s="322"/>
      <c r="P19" s="322"/>
      <c r="Q19" s="322"/>
      <c r="R19" s="322"/>
      <c r="S19" s="322"/>
      <c r="T19" s="322"/>
    </row>
    <row r="20" spans="2:20" ht="21" customHeight="1" thickTop="1">
      <c r="B20" s="1211" t="str">
        <f>'KEY INPUTS'!D25</f>
        <v>Balance - January 1, 2019</v>
      </c>
      <c r="C20" s="1170"/>
      <c r="D20" s="1170"/>
      <c r="E20" s="1170"/>
      <c r="F20" s="1170"/>
      <c r="G20" s="1170"/>
      <c r="H20" s="1170"/>
      <c r="I20" s="1170"/>
      <c r="J20" s="1170"/>
      <c r="K20" s="1335" t="s">
        <v>787</v>
      </c>
      <c r="L20" s="924"/>
      <c r="N20" s="322"/>
      <c r="O20" s="322"/>
      <c r="P20" s="322"/>
      <c r="Q20" s="322"/>
      <c r="R20" s="322"/>
      <c r="S20" s="322"/>
      <c r="T20" s="322"/>
    </row>
    <row r="21" spans="2:20" ht="21" customHeight="1">
      <c r="B21" s="1200"/>
      <c r="C21" s="648"/>
      <c r="D21" s="648"/>
      <c r="E21" s="648"/>
      <c r="F21" s="648"/>
      <c r="G21" s="648"/>
      <c r="H21" s="648"/>
      <c r="I21" s="648"/>
      <c r="J21" s="648"/>
      <c r="K21" s="1198"/>
      <c r="L21" s="922"/>
      <c r="N21" s="322"/>
      <c r="O21" s="322"/>
      <c r="P21" s="322"/>
      <c r="Q21" s="322"/>
      <c r="R21" s="322"/>
      <c r="S21" s="322"/>
      <c r="T21" s="322"/>
    </row>
    <row r="22" spans="2:20" ht="21" customHeight="1">
      <c r="B22" s="914" t="str">
        <f>"Excess in Results of "&amp;TEXT('KEY INPUTS'!D34,"0")&amp;" Operations"</f>
        <v>Excess in Results of 2019 Operations</v>
      </c>
      <c r="C22" s="690"/>
      <c r="D22" s="690"/>
      <c r="E22" s="690"/>
      <c r="F22" s="690"/>
      <c r="G22" s="690"/>
      <c r="H22" s="690"/>
      <c r="I22" s="690"/>
      <c r="J22" s="690"/>
      <c r="K22" s="1336" t="s">
        <v>787</v>
      </c>
      <c r="L22" s="1337">
        <f>+K13</f>
        <v>0</v>
      </c>
    </row>
    <row r="23" spans="2:20" ht="21" customHeight="1">
      <c r="B23" s="914" t="str">
        <f>"Amount Appropriated in the "&amp;TEXT('KEY INPUTS'!D34,"0")&amp;" Budget - Cash"</f>
        <v>Amount Appropriated in the 2019 Budget - Cash</v>
      </c>
      <c r="C23" s="690"/>
      <c r="D23" s="690"/>
      <c r="E23" s="690"/>
      <c r="F23" s="690"/>
      <c r="G23" s="690"/>
      <c r="H23" s="690"/>
      <c r="I23" s="690"/>
      <c r="J23" s="690"/>
      <c r="K23" s="1338">
        <f>'44-Utility4'!I7</f>
        <v>0</v>
      </c>
      <c r="L23" s="1339" t="s">
        <v>787</v>
      </c>
    </row>
    <row r="24" spans="2:20" ht="11.25" customHeight="1">
      <c r="B24" s="1189" t="str">
        <f>"Amount Appropriated in "&amp;TEXT('KEY INPUTS'!D34,"0")&amp;" Budget with Prior Written"</f>
        <v>Amount Appropriated in 2019 Budget with Prior Written</v>
      </c>
      <c r="C24" s="1114"/>
      <c r="D24" s="1114"/>
      <c r="E24" s="1114"/>
      <c r="F24" s="1114"/>
      <c r="G24" s="1114"/>
      <c r="H24" s="1114"/>
      <c r="I24" s="1114"/>
      <c r="J24" s="1114"/>
      <c r="K24" s="1925"/>
      <c r="L24" s="1923" t="s">
        <v>787</v>
      </c>
    </row>
    <row r="25" spans="2:20" ht="12.75" customHeight="1">
      <c r="B25" s="1128" t="s">
        <v>1065</v>
      </c>
      <c r="C25" s="1128"/>
      <c r="D25" s="1128"/>
      <c r="E25" s="1128"/>
      <c r="F25" s="1128"/>
      <c r="G25" s="1128"/>
      <c r="H25" s="1128"/>
      <c r="I25" s="1128"/>
      <c r="J25" s="1128"/>
      <c r="K25" s="1926"/>
      <c r="L25" s="1924"/>
    </row>
    <row r="26" spans="2:20" ht="21" customHeight="1">
      <c r="B26" s="1200"/>
      <c r="C26" s="648"/>
      <c r="D26" s="648"/>
      <c r="E26" s="648"/>
      <c r="F26" s="648"/>
      <c r="G26" s="648"/>
      <c r="H26" s="648"/>
      <c r="I26" s="648"/>
      <c r="J26" s="648"/>
      <c r="K26" s="923"/>
      <c r="L26" s="1201"/>
    </row>
    <row r="27" spans="2:20" ht="21" customHeight="1" thickBot="1">
      <c r="B27" s="690" t="str">
        <f>'KEY INPUTS'!D26</f>
        <v>Balance - December 31, 2019</v>
      </c>
      <c r="C27" s="690"/>
      <c r="D27" s="690"/>
      <c r="E27" s="690"/>
      <c r="F27" s="690"/>
      <c r="G27" s="690"/>
      <c r="H27" s="690"/>
      <c r="I27" s="690"/>
      <c r="J27" s="690"/>
      <c r="K27" s="1340">
        <f>+SUM(L20:L26)-SUM(K21:K26)</f>
        <v>0</v>
      </c>
      <c r="L27" s="1341" t="s">
        <v>787</v>
      </c>
      <c r="N27" s="776" t="s">
        <v>3529</v>
      </c>
    </row>
    <row r="28" spans="2:20" ht="21" customHeight="1" thickBot="1">
      <c r="B28" s="1114"/>
      <c r="C28" s="1114"/>
      <c r="D28" s="1114"/>
      <c r="E28" s="1114"/>
      <c r="F28" s="1114"/>
      <c r="G28" s="1114"/>
      <c r="H28" s="1114"/>
      <c r="I28" s="1114"/>
      <c r="J28" s="1114"/>
      <c r="K28" s="1131">
        <f>SUM(K21:K27)</f>
        <v>0</v>
      </c>
      <c r="L28" s="1132">
        <f>SUM(L20:L27)</f>
        <v>0</v>
      </c>
    </row>
    <row r="29" spans="2:20" ht="13.8" thickTop="1"/>
    <row r="32" spans="2:20" ht="17.399999999999999">
      <c r="B32" s="1805" t="str">
        <f>"ANALYSIS  OF  BALANCE  DECEMBER 31, "&amp;TEXT('KEY INPUTS'!D34,"0")&amp;""</f>
        <v>ANALYSIS  OF  BALANCE  DECEMBER 31, 2019</v>
      </c>
      <c r="C32" s="1805"/>
      <c r="D32" s="1805"/>
      <c r="E32" s="1805"/>
      <c r="F32" s="1805"/>
      <c r="G32" s="1805"/>
      <c r="H32" s="1805"/>
      <c r="I32" s="1805"/>
      <c r="J32" s="1805"/>
      <c r="K32" s="1805"/>
      <c r="L32" s="1805"/>
    </row>
    <row r="33" spans="2:14" ht="17.399999999999999">
      <c r="B33" s="1805" t="str">
        <f>"(FROM "&amp;UPPER('KEY INPUTS'!D55)&amp;" UTILITY  -  TRIAL  BALANCE)"</f>
        <v>(FROM  UTILITY  -  TRIAL  BALANCE)</v>
      </c>
      <c r="C33" s="1805"/>
      <c r="D33" s="1805"/>
      <c r="E33" s="1805"/>
      <c r="F33" s="1805"/>
      <c r="G33" s="1805"/>
      <c r="H33" s="1805"/>
      <c r="I33" s="1805"/>
      <c r="J33" s="1805"/>
      <c r="K33" s="1805"/>
      <c r="L33" s="1805"/>
    </row>
    <row r="34" spans="2:14" ht="13.8" thickBot="1">
      <c r="B34" s="1114"/>
      <c r="C34" s="1114"/>
      <c r="D34" s="1114"/>
      <c r="E34" s="1114"/>
      <c r="F34" s="1114"/>
      <c r="G34" s="1114"/>
      <c r="H34" s="1114"/>
      <c r="I34" s="1114"/>
      <c r="J34" s="1114"/>
      <c r="K34" s="1114"/>
      <c r="L34" s="1114"/>
    </row>
    <row r="35" spans="2:14" ht="21" customHeight="1" thickTop="1">
      <c r="B35" s="1170" t="s">
        <v>253</v>
      </c>
      <c r="C35" s="1170"/>
      <c r="D35" s="1170"/>
      <c r="E35" s="1170"/>
      <c r="F35" s="1170"/>
      <c r="G35" s="1170"/>
      <c r="H35" s="1170"/>
      <c r="I35" s="1170"/>
      <c r="J35" s="1170"/>
      <c r="K35" s="1214"/>
      <c r="L35" s="1213">
        <f>+'41-Utility4'!G13</f>
        <v>0</v>
      </c>
    </row>
    <row r="36" spans="2:14" ht="21" customHeight="1">
      <c r="B36" s="690" t="s">
        <v>419</v>
      </c>
      <c r="C36" s="690"/>
      <c r="D36" s="690"/>
      <c r="E36" s="690"/>
      <c r="F36" s="690"/>
      <c r="G36" s="690"/>
      <c r="H36" s="690"/>
      <c r="I36" s="690"/>
      <c r="J36" s="690"/>
      <c r="K36" s="1215"/>
      <c r="L36" s="631"/>
    </row>
    <row r="37" spans="2:14" ht="21" customHeight="1" thickBot="1">
      <c r="B37" s="690" t="s">
        <v>829</v>
      </c>
      <c r="C37" s="690"/>
      <c r="D37" s="690"/>
      <c r="E37" s="690"/>
      <c r="F37" s="690"/>
      <c r="G37" s="690"/>
      <c r="H37" s="690"/>
      <c r="I37" s="690"/>
      <c r="J37" s="690"/>
      <c r="K37" s="1215"/>
      <c r="L37" s="633"/>
    </row>
    <row r="38" spans="2:14" ht="21" customHeight="1" thickTop="1">
      <c r="B38" s="690"/>
      <c r="C38" s="690"/>
      <c r="D38" s="690" t="s">
        <v>421</v>
      </c>
      <c r="E38" s="690"/>
      <c r="F38" s="690"/>
      <c r="G38" s="690"/>
      <c r="H38" s="690"/>
      <c r="I38" s="690"/>
      <c r="J38" s="690"/>
      <c r="K38" s="1215"/>
      <c r="L38" s="1216">
        <f>SUM(L35:L37)</f>
        <v>0</v>
      </c>
    </row>
    <row r="39" spans="2:14" ht="21" customHeight="1" thickBot="1">
      <c r="B39" s="690" t="s">
        <v>470</v>
      </c>
      <c r="C39" s="690"/>
      <c r="D39" s="690"/>
      <c r="E39" s="690"/>
      <c r="F39" s="690"/>
      <c r="G39" s="690"/>
      <c r="H39" s="690"/>
      <c r="I39" s="690"/>
      <c r="J39" s="690"/>
      <c r="K39" s="1215"/>
      <c r="L39" s="1217">
        <f>+'41-Utility4'!H39</f>
        <v>0</v>
      </c>
    </row>
    <row r="40" spans="2:14" ht="21" customHeight="1" thickTop="1">
      <c r="B40" s="690"/>
      <c r="C40" s="690"/>
      <c r="D40" s="690" t="s">
        <v>268</v>
      </c>
      <c r="E40" s="690"/>
      <c r="F40" s="690"/>
      <c r="G40" s="690"/>
      <c r="H40" s="690"/>
      <c r="I40" s="690"/>
      <c r="J40" s="690"/>
      <c r="K40" s="1215"/>
      <c r="L40" s="1216">
        <f>+L38-L39</f>
        <v>0</v>
      </c>
    </row>
    <row r="41" spans="2:14" ht="21" customHeight="1">
      <c r="B41" s="690" t="s">
        <v>477</v>
      </c>
      <c r="C41" s="690"/>
      <c r="D41" s="690"/>
      <c r="E41" s="690"/>
      <c r="F41" s="690"/>
      <c r="G41" s="690"/>
      <c r="H41" s="690"/>
      <c r="I41" s="690"/>
      <c r="J41" s="690"/>
      <c r="K41" s="691"/>
      <c r="L41" s="1120"/>
    </row>
    <row r="42" spans="2:14" ht="22.5" customHeight="1">
      <c r="B42" s="690"/>
      <c r="C42" s="1804" t="s">
        <v>473</v>
      </c>
      <c r="D42" s="1804"/>
      <c r="E42" s="1804"/>
      <c r="F42" s="1804"/>
      <c r="G42" s="1804"/>
      <c r="H42" s="1223"/>
      <c r="I42" s="690"/>
      <c r="J42" s="690"/>
      <c r="K42" s="601"/>
      <c r="L42" s="1120"/>
    </row>
    <row r="43" spans="2:14" ht="21" customHeight="1">
      <c r="B43" s="690"/>
      <c r="C43" s="690" t="s">
        <v>269</v>
      </c>
      <c r="D43" s="690"/>
      <c r="E43" s="690"/>
      <c r="F43" s="690"/>
      <c r="G43" s="690"/>
      <c r="H43" s="690"/>
      <c r="I43" s="690"/>
      <c r="J43" s="690"/>
      <c r="K43" s="601"/>
      <c r="L43" s="1120"/>
      <c r="M43" s="399"/>
      <c r="N43" s="399"/>
    </row>
    <row r="44" spans="2:14" ht="21" customHeight="1" thickBot="1">
      <c r="B44" s="690"/>
      <c r="C44" s="690"/>
      <c r="D44" s="690" t="s">
        <v>475</v>
      </c>
      <c r="E44" s="690"/>
      <c r="F44" s="690"/>
      <c r="G44" s="690"/>
      <c r="H44" s="690"/>
      <c r="I44" s="690"/>
      <c r="J44" s="690"/>
      <c r="K44" s="1219"/>
      <c r="L44" s="1130">
        <f>SUM(K42:K43)</f>
        <v>0</v>
      </c>
    </row>
    <row r="45" spans="2:14" ht="21" customHeight="1" thickBot="1">
      <c r="B45" s="1220" t="str">
        <f>"# MAY NOT BE ANTICIPATED AS NON-CASH SURPLUS IN "&amp;TEXT('KEY INPUTS'!D34,"0")&amp;" BUDGET."</f>
        <v># MAY NOT BE ANTICIPATED AS NON-CASH SURPLUS IN 2019 BUDGET.</v>
      </c>
      <c r="C45" s="1114"/>
      <c r="D45" s="1114"/>
      <c r="E45" s="1114"/>
      <c r="F45" s="1114"/>
      <c r="G45" s="1114"/>
      <c r="H45" s="1114"/>
      <c r="I45" s="1114"/>
      <c r="J45" s="1114"/>
      <c r="K45" s="1221"/>
      <c r="L45" s="1218">
        <f>+L40+L44</f>
        <v>0</v>
      </c>
      <c r="M45" s="399"/>
      <c r="N45" s="776" t="s">
        <v>3529</v>
      </c>
    </row>
    <row r="46" spans="2:14" ht="13.8" thickTop="1">
      <c r="B46" s="470" t="s">
        <v>275</v>
      </c>
      <c r="C46" s="470"/>
    </row>
    <row r="47" spans="2:14">
      <c r="B47" s="470"/>
      <c r="C47" s="470" t="s">
        <v>3439</v>
      </c>
    </row>
    <row r="52" spans="2:12" ht="13.8">
      <c r="B52" s="1765" t="s">
        <v>3438</v>
      </c>
      <c r="C52" s="1765"/>
      <c r="D52" s="1765"/>
      <c r="E52" s="1765"/>
      <c r="F52" s="1765"/>
      <c r="G52" s="1765"/>
      <c r="H52" s="1765"/>
      <c r="I52" s="1765"/>
      <c r="J52" s="1765"/>
      <c r="K52" s="1765"/>
      <c r="L52" s="1765"/>
    </row>
  </sheetData>
  <sheetProtection password="CAF9" sheet="1" objects="1" scenarios="1"/>
  <customSheetViews>
    <customSheetView guid="{AC653BD0-46E3-42CB-9C76-32121A57B65A}">
      <pageMargins left="0.25" right="0.25" top="0.5" bottom="0.5" header="0.25" footer="0.25"/>
      <pageSetup paperSize="5" orientation="portrait" r:id="rId1"/>
      <headerFooter alignWithMargins="0"/>
    </customSheetView>
    <customSheetView guid="{B165479B-DC25-403C-9595-F1A88A4AA9A2}">
      <pageMargins left="0.25" right="0.25" top="0.5" bottom="0.5" header="0.25" footer="0.25"/>
      <pageSetup paperSize="5" orientation="portrait" r:id="rId2"/>
      <headerFooter alignWithMargins="0"/>
    </customSheetView>
    <customSheetView guid="{A64E4C9E-A3DA-4AAA-8607-F524450B9436}">
      <pageMargins left="0.25" right="0.25" top="0.5" bottom="0.5" header="0.25" footer="0.25"/>
      <pageSetup paperSize="5" orientation="portrait" r:id="rId3"/>
      <headerFooter alignWithMargins="0"/>
    </customSheetView>
    <customSheetView guid="{AB4FBD91-4533-473A-9702-569FF6402073}">
      <pageMargins left="0.25" right="0.25" top="0.5" bottom="0.5" header="0.25" footer="0.25"/>
      <pageSetup paperSize="5" orientation="portrait" r:id="rId4"/>
      <headerFooter alignWithMargins="0"/>
    </customSheetView>
  </customSheetViews>
  <mergeCells count="8">
    <mergeCell ref="B52:L52"/>
    <mergeCell ref="B2:L2"/>
    <mergeCell ref="B17:L17"/>
    <mergeCell ref="B32:L32"/>
    <mergeCell ref="B33:L33"/>
    <mergeCell ref="C42:G42"/>
    <mergeCell ref="K24:K25"/>
    <mergeCell ref="L24:L25"/>
  </mergeCells>
  <pageMargins left="0.25" right="0.25" top="0.5" bottom="0.5" header="0.25" footer="0.25"/>
  <pageSetup paperSize="5" orientation="portrait" r:id="rId5"/>
  <headerFooter alignWithMargins="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2">
    <tabColor theme="2" tint="-0.249977111117893"/>
  </sheetPr>
  <dimension ref="B3:T69"/>
  <sheetViews>
    <sheetView zoomScaleNormal="100" zoomScaleSheetLayoutView="80" workbookViewId="0">
      <selection activeCell="B1" sqref="B1"/>
    </sheetView>
  </sheetViews>
  <sheetFormatPr defaultColWidth="9.109375" defaultRowHeight="13.2"/>
  <cols>
    <col min="1" max="4" width="4.6640625" style="331" customWidth="1"/>
    <col min="5" max="8" width="9.109375" style="331"/>
    <col min="9" max="9" width="1.6640625" style="331" customWidth="1"/>
    <col min="10" max="10" width="16.6640625" style="331" customWidth="1"/>
    <col min="11" max="11" width="1.6640625" style="331" customWidth="1"/>
    <col min="12" max="12" width="16.6640625" style="331" customWidth="1"/>
    <col min="13" max="16384" width="9.109375" style="331"/>
  </cols>
  <sheetData>
    <row r="3" spans="2:20" ht="17.399999999999999">
      <c r="B3" s="1811" t="str">
        <f>"SCHEDULE  OF "&amp;UPPER('KEY INPUTS'!D55&amp;"  UTILITY  ACCOUNTS  RECEIVABLE")</f>
        <v>SCHEDULE  OF   UTILITY  ACCOUNTS  RECEIVABLE</v>
      </c>
      <c r="C3" s="1811"/>
      <c r="D3" s="1811"/>
      <c r="E3" s="1811"/>
      <c r="F3" s="1811"/>
      <c r="G3" s="1811"/>
      <c r="H3" s="1811"/>
      <c r="I3" s="1811"/>
      <c r="J3" s="1811"/>
      <c r="K3" s="1811"/>
      <c r="L3" s="1811"/>
    </row>
    <row r="6" spans="2:20">
      <c r="B6" s="480" t="str">
        <f>"Balance December 31, "&amp;'KEY INPUTS'!D35</f>
        <v>Balance December 31, 2018</v>
      </c>
      <c r="J6" s="287"/>
      <c r="K6" s="331" t="s">
        <v>482</v>
      </c>
      <c r="L6" s="580"/>
      <c r="N6" s="322"/>
      <c r="O6" s="322"/>
      <c r="P6" s="322"/>
      <c r="Q6" s="322"/>
      <c r="R6" s="322"/>
      <c r="S6" s="322"/>
      <c r="T6" s="322"/>
    </row>
    <row r="7" spans="2:20">
      <c r="J7" s="287"/>
      <c r="K7" s="287"/>
      <c r="L7" s="287"/>
      <c r="N7" s="322"/>
      <c r="O7" s="322"/>
      <c r="P7" s="322"/>
      <c r="Q7" s="322"/>
      <c r="R7" s="322"/>
      <c r="S7" s="322"/>
      <c r="T7" s="322"/>
    </row>
    <row r="8" spans="2:20">
      <c r="J8" s="287"/>
      <c r="K8" s="287"/>
      <c r="L8" s="287"/>
      <c r="N8" s="377"/>
      <c r="O8" s="322"/>
      <c r="P8" s="322"/>
      <c r="Q8" s="322"/>
      <c r="R8" s="322"/>
      <c r="S8" s="322"/>
      <c r="T8" s="322"/>
    </row>
    <row r="9" spans="2:20">
      <c r="J9" s="287"/>
      <c r="K9" s="287"/>
      <c r="L9" s="287"/>
      <c r="N9" s="322"/>
      <c r="O9" s="322"/>
      <c r="P9" s="322"/>
      <c r="Q9" s="322"/>
      <c r="R9" s="322"/>
      <c r="S9" s="322"/>
      <c r="T9" s="322"/>
    </row>
    <row r="10" spans="2:20">
      <c r="B10" s="331" t="s">
        <v>276</v>
      </c>
      <c r="J10" s="287"/>
      <c r="K10" s="287"/>
      <c r="L10" s="287"/>
      <c r="N10" s="322"/>
      <c r="O10" s="322"/>
      <c r="P10" s="322"/>
      <c r="Q10" s="322"/>
      <c r="R10" s="322"/>
      <c r="S10" s="322"/>
      <c r="T10" s="322"/>
    </row>
    <row r="11" spans="2:20">
      <c r="D11" s="1192" t="s">
        <v>3783</v>
      </c>
      <c r="E11" s="1192"/>
      <c r="F11" s="1192"/>
      <c r="G11" s="1114"/>
      <c r="J11" s="287"/>
      <c r="K11" s="331" t="s">
        <v>482</v>
      </c>
      <c r="L11" s="580"/>
      <c r="N11" s="322"/>
      <c r="O11" s="322"/>
      <c r="P11" s="322"/>
      <c r="Q11" s="322"/>
      <c r="R11" s="322"/>
      <c r="S11" s="322"/>
      <c r="T11" s="322"/>
    </row>
    <row r="12" spans="2:20">
      <c r="J12" s="287"/>
      <c r="K12" s="287"/>
      <c r="L12" s="287"/>
      <c r="N12" s="322"/>
      <c r="O12" s="322"/>
      <c r="P12" s="322"/>
      <c r="Q12" s="322"/>
      <c r="R12" s="322"/>
      <c r="S12" s="322"/>
      <c r="T12" s="322"/>
    </row>
    <row r="13" spans="2:20">
      <c r="J13" s="287"/>
      <c r="K13" s="287"/>
      <c r="L13" s="287"/>
      <c r="N13" s="322"/>
      <c r="O13" s="322"/>
      <c r="P13" s="322"/>
      <c r="Q13" s="322"/>
      <c r="R13" s="322"/>
      <c r="S13" s="322"/>
      <c r="T13" s="322"/>
    </row>
    <row r="14" spans="2:20">
      <c r="J14" s="287"/>
      <c r="K14" s="287"/>
      <c r="L14" s="287"/>
      <c r="N14" s="322"/>
      <c r="O14" s="322"/>
      <c r="P14" s="322"/>
      <c r="Q14" s="322"/>
      <c r="R14" s="322"/>
      <c r="S14" s="322"/>
      <c r="T14" s="322"/>
    </row>
    <row r="15" spans="2:20">
      <c r="B15" s="331" t="s">
        <v>277</v>
      </c>
      <c r="J15" s="287"/>
      <c r="K15" s="287"/>
      <c r="L15" s="287"/>
      <c r="N15" s="322"/>
      <c r="O15" s="322"/>
      <c r="P15" s="322"/>
      <c r="Q15" s="322"/>
      <c r="R15" s="322"/>
      <c r="S15" s="322"/>
      <c r="T15" s="322"/>
    </row>
    <row r="16" spans="2:20" ht="21" customHeight="1">
      <c r="D16" s="331" t="s">
        <v>278</v>
      </c>
      <c r="I16" s="331" t="s">
        <v>482</v>
      </c>
      <c r="J16" s="580"/>
      <c r="K16" s="287"/>
      <c r="L16" s="287"/>
      <c r="N16" s="322"/>
      <c r="O16" s="322"/>
      <c r="P16" s="322"/>
      <c r="Q16" s="322"/>
      <c r="R16" s="322"/>
      <c r="S16" s="322"/>
      <c r="T16" s="322"/>
    </row>
    <row r="17" spans="2:20" ht="21" customHeight="1">
      <c r="D17" s="331" t="s">
        <v>279</v>
      </c>
      <c r="I17" s="331" t="s">
        <v>482</v>
      </c>
      <c r="J17" s="580"/>
      <c r="K17" s="287"/>
      <c r="L17" s="287"/>
      <c r="N17" s="322"/>
      <c r="O17" s="322"/>
      <c r="P17" s="322"/>
      <c r="Q17" s="322"/>
      <c r="R17" s="322"/>
      <c r="S17" s="322"/>
      <c r="T17" s="322"/>
    </row>
    <row r="18" spans="2:20" ht="21" customHeight="1">
      <c r="D18" s="1114" t="s">
        <v>3784</v>
      </c>
      <c r="E18" s="1114"/>
      <c r="F18" s="1192"/>
      <c r="G18" s="1192"/>
      <c r="I18" s="331" t="s">
        <v>482</v>
      </c>
      <c r="J18" s="580"/>
      <c r="K18" s="287"/>
      <c r="L18" s="287"/>
      <c r="N18" s="322"/>
      <c r="O18" s="322"/>
      <c r="P18" s="322"/>
      <c r="Q18" s="322"/>
      <c r="R18" s="322"/>
      <c r="S18" s="322"/>
      <c r="T18" s="322"/>
    </row>
    <row r="19" spans="2:20" ht="21" customHeight="1">
      <c r="D19" s="331" t="s">
        <v>280</v>
      </c>
      <c r="I19" s="331" t="s">
        <v>482</v>
      </c>
      <c r="J19" s="580"/>
      <c r="K19" s="287"/>
      <c r="L19" s="287"/>
      <c r="N19" s="322"/>
      <c r="O19" s="322"/>
      <c r="P19" s="322"/>
      <c r="Q19" s="322"/>
      <c r="R19" s="322"/>
      <c r="S19" s="322"/>
      <c r="T19" s="322"/>
    </row>
    <row r="20" spans="2:20">
      <c r="J20" s="287"/>
      <c r="K20" s="287"/>
      <c r="L20" s="287"/>
      <c r="N20" s="322"/>
      <c r="O20" s="322"/>
      <c r="P20" s="322"/>
      <c r="Q20" s="322"/>
      <c r="R20" s="322"/>
      <c r="S20" s="322"/>
      <c r="T20" s="322"/>
    </row>
    <row r="21" spans="2:20">
      <c r="J21" s="287"/>
      <c r="K21" s="331" t="s">
        <v>482</v>
      </c>
      <c r="L21" s="67">
        <f>SUM(J16:J19)</f>
        <v>0</v>
      </c>
      <c r="N21" s="322"/>
      <c r="O21" s="322"/>
      <c r="P21" s="322"/>
      <c r="Q21" s="322"/>
      <c r="R21" s="322"/>
      <c r="S21" s="322"/>
      <c r="T21" s="322"/>
    </row>
    <row r="22" spans="2:20">
      <c r="J22" s="287"/>
      <c r="K22" s="287"/>
      <c r="L22" s="287"/>
      <c r="N22" s="322"/>
      <c r="O22" s="322"/>
      <c r="P22" s="322"/>
      <c r="Q22" s="322"/>
      <c r="R22" s="322"/>
      <c r="S22" s="322"/>
      <c r="T22" s="322"/>
    </row>
    <row r="23" spans="2:20">
      <c r="J23" s="287"/>
      <c r="K23" s="287"/>
      <c r="L23" s="287"/>
    </row>
    <row r="24" spans="2:20" ht="13.8" thickBot="1">
      <c r="B24" s="478" t="str">
        <f>"Balance December 31, "&amp;'KEY INPUTS'!D34</f>
        <v>Balance December 31, 2019</v>
      </c>
      <c r="J24" s="287"/>
      <c r="K24" s="331" t="s">
        <v>482</v>
      </c>
      <c r="L24" s="84">
        <f>+L6+L11-L21</f>
        <v>0</v>
      </c>
    </row>
    <row r="25" spans="2:20" ht="13.8" thickTop="1"/>
    <row r="28" spans="2:20">
      <c r="B28" s="479"/>
      <c r="C28" s="479"/>
      <c r="D28" s="479"/>
      <c r="E28" s="479"/>
      <c r="F28" s="479"/>
      <c r="G28" s="479"/>
      <c r="H28" s="479"/>
      <c r="I28" s="479"/>
      <c r="J28" s="479"/>
      <c r="K28" s="479"/>
      <c r="L28" s="479"/>
    </row>
    <row r="29" spans="2:20" ht="4.5" customHeight="1">
      <c r="B29" s="479"/>
      <c r="C29" s="479"/>
      <c r="D29" s="479"/>
      <c r="E29" s="479"/>
      <c r="F29" s="479"/>
      <c r="G29" s="479"/>
      <c r="H29" s="479"/>
      <c r="I29" s="479"/>
      <c r="J29" s="479"/>
      <c r="K29" s="479"/>
      <c r="L29" s="479"/>
    </row>
    <row r="33" spans="2:12" ht="17.399999999999999">
      <c r="B33" s="1805" t="str">
        <f>"SCHEDULE  OF "&amp;UPPER('KEY INPUTS'!D55)&amp;" UTILITY  LIENS"</f>
        <v>SCHEDULE  OF  UTILITY  LIENS</v>
      </c>
      <c r="C33" s="1805"/>
      <c r="D33" s="1805"/>
      <c r="E33" s="1805"/>
      <c r="F33" s="1805"/>
      <c r="G33" s="1805"/>
      <c r="H33" s="1805"/>
      <c r="I33" s="1805"/>
      <c r="J33" s="1805"/>
      <c r="K33" s="1805"/>
      <c r="L33" s="1805"/>
    </row>
    <row r="36" spans="2:12">
      <c r="B36" s="478" t="str">
        <f>"Balance December 31, "&amp;'KEY INPUTS'!D35</f>
        <v>Balance December 31, 2018</v>
      </c>
      <c r="I36" s="287"/>
      <c r="J36" s="287"/>
      <c r="K36" s="287" t="s">
        <v>482</v>
      </c>
      <c r="L36" s="580"/>
    </row>
    <row r="37" spans="2:12">
      <c r="I37" s="287"/>
      <c r="J37" s="287"/>
      <c r="K37" s="287"/>
      <c r="L37" s="287"/>
    </row>
    <row r="38" spans="2:12">
      <c r="I38" s="287"/>
      <c r="J38" s="287"/>
      <c r="K38" s="287"/>
      <c r="L38" s="287"/>
    </row>
    <row r="39" spans="2:12">
      <c r="I39" s="287"/>
      <c r="J39" s="287"/>
      <c r="K39" s="287"/>
      <c r="L39" s="287"/>
    </row>
    <row r="40" spans="2:12">
      <c r="B40" s="331" t="s">
        <v>276</v>
      </c>
      <c r="I40" s="287"/>
      <c r="J40" s="287"/>
      <c r="K40" s="287"/>
      <c r="L40" s="287"/>
    </row>
    <row r="41" spans="2:12" ht="21" customHeight="1">
      <c r="D41" s="331" t="s">
        <v>281</v>
      </c>
      <c r="I41" s="331" t="s">
        <v>482</v>
      </c>
      <c r="J41" s="580"/>
      <c r="K41" s="287"/>
      <c r="L41" s="287"/>
    </row>
    <row r="42" spans="2:12" ht="21" customHeight="1">
      <c r="D42" s="331" t="s">
        <v>282</v>
      </c>
      <c r="I42" s="331" t="s">
        <v>482</v>
      </c>
      <c r="J42" s="580"/>
      <c r="K42" s="287"/>
      <c r="L42" s="287"/>
    </row>
    <row r="43" spans="2:12" ht="21" customHeight="1">
      <c r="D43" s="331" t="s">
        <v>280</v>
      </c>
      <c r="I43" s="331" t="s">
        <v>482</v>
      </c>
      <c r="J43" s="580"/>
      <c r="K43" s="125"/>
      <c r="L43" s="125"/>
    </row>
    <row r="44" spans="2:12">
      <c r="I44" s="287"/>
      <c r="J44" s="287"/>
      <c r="K44" s="287"/>
      <c r="L44" s="287"/>
    </row>
    <row r="45" spans="2:12">
      <c r="I45" s="287"/>
      <c r="J45" s="287"/>
      <c r="K45" s="331" t="s">
        <v>482</v>
      </c>
      <c r="L45" s="67">
        <f>SUM(J41:J43)</f>
        <v>0</v>
      </c>
    </row>
    <row r="46" spans="2:12">
      <c r="I46" s="287"/>
      <c r="J46" s="287"/>
      <c r="K46" s="287"/>
      <c r="L46" s="287"/>
    </row>
    <row r="47" spans="2:12">
      <c r="B47" s="331" t="s">
        <v>277</v>
      </c>
      <c r="I47" s="287"/>
      <c r="J47" s="287"/>
      <c r="K47" s="287"/>
      <c r="L47" s="287"/>
    </row>
    <row r="48" spans="2:12" ht="21" customHeight="1">
      <c r="D48" s="331" t="s">
        <v>278</v>
      </c>
      <c r="I48" s="331" t="s">
        <v>482</v>
      </c>
      <c r="J48" s="580"/>
      <c r="K48" s="287"/>
      <c r="L48" s="287"/>
    </row>
    <row r="49" spans="2:12" ht="21" customHeight="1">
      <c r="D49" s="331" t="s">
        <v>280</v>
      </c>
      <c r="I49" s="331" t="s">
        <v>482</v>
      </c>
      <c r="J49" s="580"/>
      <c r="K49" s="287"/>
      <c r="L49" s="287"/>
    </row>
    <row r="50" spans="2:12">
      <c r="I50" s="287"/>
      <c r="J50" s="287"/>
      <c r="K50" s="287"/>
      <c r="L50" s="287"/>
    </row>
    <row r="51" spans="2:12">
      <c r="I51" s="287"/>
      <c r="J51" s="287"/>
      <c r="K51" s="331" t="s">
        <v>482</v>
      </c>
      <c r="L51" s="67">
        <f>+J49+J48</f>
        <v>0</v>
      </c>
    </row>
    <row r="52" spans="2:12">
      <c r="I52" s="287"/>
      <c r="J52" s="287"/>
      <c r="K52" s="287"/>
      <c r="L52" s="287"/>
    </row>
    <row r="53" spans="2:12">
      <c r="I53" s="287"/>
      <c r="J53" s="287"/>
      <c r="K53" s="287"/>
      <c r="L53" s="287"/>
    </row>
    <row r="54" spans="2:12" ht="13.8" thickBot="1">
      <c r="B54" s="478" t="str">
        <f>"Balance December 31, "&amp;'KEY INPUTS'!D34</f>
        <v>Balance December 31, 2019</v>
      </c>
      <c r="I54" s="287"/>
      <c r="J54" s="287"/>
      <c r="K54" s="331" t="s">
        <v>482</v>
      </c>
      <c r="L54" s="84">
        <f>+L36+L45-L51</f>
        <v>0</v>
      </c>
    </row>
    <row r="55" spans="2:12" ht="13.8" thickTop="1">
      <c r="I55" s="287"/>
      <c r="J55" s="287"/>
      <c r="K55" s="287"/>
      <c r="L55" s="287"/>
    </row>
    <row r="69" spans="2:12" ht="13.8">
      <c r="B69" s="1812" t="s">
        <v>3442</v>
      </c>
      <c r="C69" s="1812"/>
      <c r="D69" s="1812"/>
      <c r="E69" s="1812"/>
      <c r="F69" s="1812"/>
      <c r="G69" s="1812"/>
      <c r="H69" s="1812"/>
      <c r="I69" s="1812"/>
      <c r="J69" s="1812"/>
      <c r="K69" s="1812"/>
      <c r="L69" s="1812"/>
    </row>
  </sheetData>
  <sheetProtection algorithmName="SHA-512" hashValue="zzLE4P8KIH9BD9jn6jqaa2cFOtB2yCpfOfzuLWrMjriejih9zmjV0kmhDRQmtxyf9KBF3pauLzWXDk4uIT44Xw==" saltValue="YL463R7Fulmeydv/Uhlojg=="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
    <mergeCell ref="B3:L3"/>
    <mergeCell ref="B33:L33"/>
    <mergeCell ref="B69:L69"/>
  </mergeCells>
  <pageMargins left="0.25" right="0.25" top="0.5" bottom="0.5" header="0.25" footer="0.25"/>
  <pageSetup paperSize="5" orientation="portrait" r:id="rId5"/>
  <headerFooter alignWithMargins="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3">
    <tabColor theme="2" tint="-0.249977111117893"/>
  </sheetPr>
  <dimension ref="B1:W69"/>
  <sheetViews>
    <sheetView zoomScaleNormal="100" zoomScaleSheetLayoutView="80" workbookViewId="0">
      <selection activeCell="B1" sqref="B1"/>
    </sheetView>
  </sheetViews>
  <sheetFormatPr defaultColWidth="9.109375" defaultRowHeight="13.2"/>
  <cols>
    <col min="1" max="4" width="4.6640625" style="331" customWidth="1"/>
    <col min="5" max="6" width="9.109375" style="331"/>
    <col min="7" max="7" width="1.6640625" style="331" customWidth="1"/>
    <col min="8" max="8" width="14.6640625" style="331" customWidth="1"/>
    <col min="9" max="9" width="1.6640625" style="331" customWidth="1"/>
    <col min="10" max="10" width="14.6640625" style="331" customWidth="1"/>
    <col min="11" max="11" width="1.6640625" style="331" customWidth="1"/>
    <col min="12" max="12" width="14.6640625" style="331" customWidth="1"/>
    <col min="13" max="13" width="1.6640625" style="331" customWidth="1"/>
    <col min="14" max="14" width="14.6640625" style="331" customWidth="1"/>
    <col min="15" max="16384" width="9.109375" style="331"/>
  </cols>
  <sheetData>
    <row r="1" spans="2:23">
      <c r="B1" s="1146"/>
      <c r="C1" s="1146"/>
      <c r="D1" s="1146"/>
      <c r="E1" s="1146"/>
      <c r="F1" s="1146"/>
      <c r="G1" s="1146"/>
      <c r="H1" s="1146"/>
      <c r="I1" s="1146"/>
      <c r="J1" s="1146"/>
      <c r="K1" s="1146"/>
      <c r="L1" s="1146"/>
      <c r="M1" s="1146"/>
      <c r="N1" s="1146"/>
    </row>
    <row r="2" spans="2:23">
      <c r="B2" s="1146"/>
      <c r="C2" s="1146"/>
      <c r="D2" s="1146"/>
      <c r="E2" s="1146"/>
      <c r="F2" s="1146"/>
      <c r="G2" s="1146"/>
      <c r="H2" s="1146"/>
      <c r="I2" s="1146"/>
      <c r="J2" s="1146"/>
      <c r="K2" s="1146"/>
      <c r="L2" s="1146"/>
      <c r="M2" s="1146"/>
      <c r="N2" s="1146"/>
    </row>
    <row r="3" spans="2:23" ht="20.399999999999999">
      <c r="B3" s="1870" t="s">
        <v>1129</v>
      </c>
      <c r="C3" s="1870"/>
      <c r="D3" s="1870"/>
      <c r="E3" s="1870"/>
      <c r="F3" s="1870"/>
      <c r="G3" s="1870"/>
      <c r="H3" s="1870"/>
      <c r="I3" s="1870"/>
      <c r="J3" s="1870"/>
      <c r="K3" s="1870"/>
      <c r="L3" s="1870"/>
      <c r="M3" s="1870"/>
      <c r="N3" s="1870"/>
    </row>
    <row r="4" spans="2:23" ht="15.6">
      <c r="B4" s="1928" t="s">
        <v>540</v>
      </c>
      <c r="C4" s="1928"/>
      <c r="D4" s="1928"/>
      <c r="E4" s="1928"/>
      <c r="F4" s="1928"/>
      <c r="G4" s="1928"/>
      <c r="H4" s="1928"/>
      <c r="I4" s="1928"/>
      <c r="J4" s="1928"/>
      <c r="K4" s="1928"/>
      <c r="L4" s="1928"/>
      <c r="M4" s="1928"/>
      <c r="N4" s="1928"/>
    </row>
    <row r="5" spans="2:23" ht="20.399999999999999">
      <c r="B5" s="1788" t="str">
        <f>UPPER('KEY INPUTS'!D55)&amp;" UTILITY  FUND"</f>
        <v xml:space="preserve"> UTILITY  FUND</v>
      </c>
      <c r="C5" s="1788"/>
      <c r="D5" s="1788"/>
      <c r="E5" s="1788"/>
      <c r="F5" s="1788"/>
      <c r="G5" s="1788"/>
      <c r="H5" s="1788"/>
      <c r="I5" s="1788"/>
      <c r="J5" s="1788"/>
      <c r="K5" s="1788"/>
      <c r="L5" s="1788"/>
      <c r="M5" s="1788"/>
      <c r="N5" s="1788"/>
    </row>
    <row r="6" spans="2:23">
      <c r="B6" s="1929" t="s">
        <v>283</v>
      </c>
      <c r="C6" s="1929"/>
      <c r="D6" s="1929"/>
      <c r="E6" s="1929"/>
      <c r="F6" s="1929"/>
      <c r="G6" s="1929"/>
      <c r="H6" s="1929"/>
      <c r="I6" s="1929"/>
      <c r="J6" s="1929"/>
      <c r="K6" s="1929"/>
      <c r="L6" s="1929"/>
      <c r="M6" s="1929"/>
      <c r="N6" s="1929"/>
    </row>
    <row r="7" spans="2:23">
      <c r="B7" s="1146"/>
      <c r="C7" s="1146"/>
      <c r="D7" s="1146"/>
      <c r="E7" s="1146"/>
      <c r="F7" s="1146"/>
      <c r="G7" s="1146"/>
      <c r="H7" s="1146"/>
      <c r="I7" s="1146"/>
      <c r="J7" s="1146"/>
      <c r="K7" s="1146"/>
      <c r="L7" s="1146"/>
      <c r="M7" s="1146"/>
      <c r="N7" s="1146"/>
    </row>
    <row r="8" spans="2:23">
      <c r="B8" s="1146"/>
      <c r="C8" s="1146"/>
      <c r="D8" s="1146"/>
      <c r="E8" s="1146"/>
      <c r="F8" s="1146"/>
      <c r="G8" s="1146"/>
      <c r="H8" s="1141" t="s">
        <v>533</v>
      </c>
      <c r="I8" s="1146"/>
      <c r="J8" s="1146"/>
      <c r="K8" s="1146"/>
      <c r="L8" s="1146"/>
      <c r="M8" s="1146"/>
      <c r="N8" s="1146"/>
    </row>
    <row r="9" spans="2:23">
      <c r="B9" s="1146"/>
      <c r="C9" s="1930" t="s">
        <v>553</v>
      </c>
      <c r="D9" s="1930"/>
      <c r="E9" s="1930"/>
      <c r="F9" s="1146"/>
      <c r="G9" s="1146"/>
      <c r="H9" s="1344" t="str">
        <f>'KEY INPUTS'!D45</f>
        <v>Dec. 31, 2018</v>
      </c>
      <c r="I9" s="1146"/>
      <c r="J9" s="1141" t="s">
        <v>554</v>
      </c>
      <c r="K9" s="1146"/>
      <c r="L9" s="1141" t="s">
        <v>533</v>
      </c>
      <c r="M9" s="1146"/>
      <c r="N9" s="1141" t="s">
        <v>671</v>
      </c>
    </row>
    <row r="10" spans="2:23">
      <c r="B10" s="1146"/>
      <c r="C10" s="1146"/>
      <c r="D10" s="1146"/>
      <c r="E10" s="1146"/>
      <c r="F10" s="1146"/>
      <c r="G10" s="1146"/>
      <c r="H10" s="1141" t="s">
        <v>552</v>
      </c>
      <c r="I10" s="1146"/>
      <c r="J10" s="1141">
        <f>'KEY INPUTS'!D34</f>
        <v>2019</v>
      </c>
      <c r="K10" s="1146"/>
      <c r="L10" s="1141" t="s">
        <v>555</v>
      </c>
      <c r="M10" s="1146"/>
      <c r="N10" s="1141" t="s">
        <v>556</v>
      </c>
    </row>
    <row r="11" spans="2:23">
      <c r="B11" s="1146"/>
      <c r="C11" s="1146"/>
      <c r="D11" s="1146"/>
      <c r="E11" s="1146"/>
      <c r="F11" s="1146"/>
      <c r="G11" s="1146"/>
      <c r="H11" s="1345" t="s">
        <v>551</v>
      </c>
      <c r="I11" s="1146"/>
      <c r="J11" s="1345" t="s">
        <v>676</v>
      </c>
      <c r="K11" s="1146"/>
      <c r="L11" s="1345">
        <f>'KEY INPUTS'!D34</f>
        <v>2019</v>
      </c>
      <c r="M11" s="1146"/>
      <c r="N11" s="1346" t="str">
        <f>'KEY INPUTS'!D46</f>
        <v>Dec. 31, 2019</v>
      </c>
      <c r="Q11" s="322"/>
      <c r="R11" s="322"/>
      <c r="S11" s="322"/>
      <c r="T11" s="322"/>
      <c r="U11" s="322"/>
      <c r="V11" s="322"/>
      <c r="W11" s="322"/>
    </row>
    <row r="12" spans="2:23">
      <c r="B12" s="1347" t="s">
        <v>384</v>
      </c>
      <c r="C12" s="1146" t="s">
        <v>1130</v>
      </c>
      <c r="D12" s="1146"/>
      <c r="E12" s="1146"/>
      <c r="F12" s="1146"/>
      <c r="G12" s="1146"/>
      <c r="H12" s="1146"/>
      <c r="I12" s="1146"/>
      <c r="J12" s="1146"/>
      <c r="K12" s="1146"/>
      <c r="L12" s="1146"/>
      <c r="M12" s="1146"/>
      <c r="N12" s="1146"/>
      <c r="Q12" s="322"/>
      <c r="R12" s="322"/>
      <c r="S12" s="322"/>
      <c r="T12" s="322"/>
      <c r="U12" s="322"/>
      <c r="V12" s="322"/>
      <c r="W12" s="322"/>
    </row>
    <row r="13" spans="2:23">
      <c r="B13" s="1347"/>
      <c r="C13" s="1146"/>
      <c r="D13" s="1146" t="s">
        <v>1131</v>
      </c>
      <c r="E13" s="1146"/>
      <c r="F13" s="1146"/>
      <c r="G13" s="331" t="s">
        <v>482</v>
      </c>
      <c r="H13" s="580"/>
      <c r="I13" s="331" t="s">
        <v>482</v>
      </c>
      <c r="J13" s="580"/>
      <c r="K13" s="331" t="s">
        <v>482</v>
      </c>
      <c r="L13" s="580"/>
      <c r="M13" s="331" t="s">
        <v>482</v>
      </c>
      <c r="N13" s="670">
        <f>+H13-J13+L13</f>
        <v>0</v>
      </c>
      <c r="Q13" s="377"/>
      <c r="R13" s="322"/>
      <c r="S13" s="322"/>
      <c r="T13" s="322"/>
      <c r="U13" s="322"/>
      <c r="V13" s="322"/>
      <c r="W13" s="322"/>
    </row>
    <row r="14" spans="2:23">
      <c r="B14" s="1347"/>
      <c r="C14" s="1146"/>
      <c r="D14" s="1146"/>
      <c r="E14" s="1146"/>
      <c r="F14" s="1146"/>
      <c r="H14" s="287"/>
      <c r="J14" s="287"/>
      <c r="L14" s="287"/>
      <c r="N14" s="1146"/>
      <c r="Q14" s="322"/>
      <c r="R14" s="322"/>
      <c r="S14" s="322"/>
      <c r="T14" s="322"/>
      <c r="U14" s="322"/>
      <c r="V14" s="322"/>
      <c r="W14" s="322"/>
    </row>
    <row r="15" spans="2:23" ht="21" customHeight="1">
      <c r="B15" s="481" t="s">
        <v>385</v>
      </c>
      <c r="C15" s="669" t="s">
        <v>3406</v>
      </c>
      <c r="D15" s="668"/>
      <c r="E15" s="668"/>
      <c r="F15" s="668"/>
      <c r="G15" s="331" t="s">
        <v>482</v>
      </c>
      <c r="H15" s="580"/>
      <c r="I15" s="331" t="s">
        <v>482</v>
      </c>
      <c r="J15" s="580"/>
      <c r="K15" s="331" t="s">
        <v>482</v>
      </c>
      <c r="L15" s="580"/>
      <c r="M15" s="331" t="s">
        <v>482</v>
      </c>
      <c r="N15" s="1224">
        <f>+H15-J15+L15</f>
        <v>0</v>
      </c>
      <c r="Q15" s="322"/>
      <c r="R15" s="322"/>
      <c r="S15" s="322"/>
      <c r="T15" s="322"/>
      <c r="U15" s="322"/>
      <c r="V15" s="322"/>
      <c r="W15" s="322"/>
    </row>
    <row r="16" spans="2:23" ht="21" customHeight="1">
      <c r="B16" s="481" t="s">
        <v>386</v>
      </c>
      <c r="C16" s="668"/>
      <c r="D16" s="668"/>
      <c r="E16" s="668"/>
      <c r="F16" s="668"/>
      <c r="G16" s="331" t="s">
        <v>482</v>
      </c>
      <c r="H16" s="580"/>
      <c r="I16" s="331" t="s">
        <v>482</v>
      </c>
      <c r="J16" s="580"/>
      <c r="K16" s="331" t="s">
        <v>482</v>
      </c>
      <c r="L16" s="580"/>
      <c r="M16" s="331" t="s">
        <v>482</v>
      </c>
      <c r="N16" s="1224">
        <f>+H16-J16+L16</f>
        <v>0</v>
      </c>
      <c r="Q16" s="322"/>
      <c r="R16" s="322"/>
      <c r="S16" s="322"/>
      <c r="T16" s="322"/>
      <c r="U16" s="322"/>
      <c r="V16" s="322"/>
      <c r="W16" s="322"/>
    </row>
    <row r="17" spans="2:23" ht="21" customHeight="1">
      <c r="B17" s="481" t="s">
        <v>387</v>
      </c>
      <c r="C17" s="668"/>
      <c r="D17" s="668"/>
      <c r="E17" s="668"/>
      <c r="F17" s="668"/>
      <c r="G17" s="331" t="s">
        <v>482</v>
      </c>
      <c r="H17" s="580"/>
      <c r="I17" s="331" t="s">
        <v>482</v>
      </c>
      <c r="J17" s="580"/>
      <c r="K17" s="331" t="s">
        <v>482</v>
      </c>
      <c r="L17" s="580"/>
      <c r="M17" s="331" t="s">
        <v>482</v>
      </c>
      <c r="N17" s="1224">
        <f t="shared" ref="N17:N23" si="0">+H17-J17+L17</f>
        <v>0</v>
      </c>
      <c r="Q17" s="322"/>
      <c r="R17" s="322"/>
      <c r="S17" s="322"/>
      <c r="T17" s="322"/>
      <c r="U17" s="322"/>
      <c r="V17" s="322"/>
      <c r="W17" s="322"/>
    </row>
    <row r="18" spans="2:23" ht="21" customHeight="1">
      <c r="B18" s="481" t="s">
        <v>388</v>
      </c>
      <c r="C18" s="668"/>
      <c r="D18" s="668"/>
      <c r="E18" s="668"/>
      <c r="F18" s="668"/>
      <c r="G18" s="331" t="s">
        <v>482</v>
      </c>
      <c r="H18" s="580"/>
      <c r="I18" s="331" t="s">
        <v>482</v>
      </c>
      <c r="J18" s="580"/>
      <c r="K18" s="331" t="s">
        <v>482</v>
      </c>
      <c r="L18" s="580"/>
      <c r="M18" s="331" t="s">
        <v>482</v>
      </c>
      <c r="N18" s="1224">
        <f t="shared" si="0"/>
        <v>0</v>
      </c>
      <c r="Q18" s="322"/>
      <c r="R18" s="322"/>
      <c r="S18" s="322"/>
      <c r="T18" s="322"/>
      <c r="U18" s="322"/>
      <c r="V18" s="322"/>
      <c r="W18" s="322"/>
    </row>
    <row r="19" spans="2:23" ht="21" customHeight="1">
      <c r="B19" s="481"/>
      <c r="C19" s="1226" t="s">
        <v>3488</v>
      </c>
      <c r="D19" s="1226"/>
      <c r="E19" s="1226"/>
      <c r="F19" s="1226"/>
      <c r="G19" s="740" t="s">
        <v>482</v>
      </c>
      <c r="H19" s="580"/>
      <c r="I19" s="740" t="s">
        <v>482</v>
      </c>
      <c r="J19" s="580"/>
      <c r="K19" s="740" t="s">
        <v>482</v>
      </c>
      <c r="L19" s="580"/>
      <c r="M19" s="331" t="s">
        <v>482</v>
      </c>
      <c r="N19" s="1224">
        <f t="shared" si="0"/>
        <v>0</v>
      </c>
      <c r="Q19" s="322"/>
      <c r="R19" s="322"/>
      <c r="S19" s="322"/>
      <c r="T19" s="322"/>
      <c r="U19" s="322"/>
      <c r="V19" s="322"/>
      <c r="W19" s="322"/>
    </row>
    <row r="20" spans="2:23" ht="21" customHeight="1">
      <c r="B20" s="481"/>
      <c r="C20" s="1227" t="s">
        <v>3489</v>
      </c>
      <c r="D20" s="1128"/>
      <c r="E20" s="1226"/>
      <c r="F20" s="1226"/>
      <c r="G20" s="740" t="s">
        <v>482</v>
      </c>
      <c r="H20" s="1225">
        <f>H13+H15+H16+H17+H18+H19</f>
        <v>0</v>
      </c>
      <c r="I20" s="1136" t="s">
        <v>482</v>
      </c>
      <c r="J20" s="1225">
        <f>J13+J15+J16+J17+J18+J19</f>
        <v>0</v>
      </c>
      <c r="K20" s="1136" t="s">
        <v>482</v>
      </c>
      <c r="L20" s="1225">
        <f>L13+L15+L16+L17+L18+L19</f>
        <v>0</v>
      </c>
      <c r="M20" s="331" t="s">
        <v>482</v>
      </c>
      <c r="N20" s="1225">
        <f>N13+N15+N16+N17+N18+N19</f>
        <v>0</v>
      </c>
      <c r="Q20" s="322"/>
      <c r="R20" s="322"/>
      <c r="S20" s="322"/>
      <c r="T20" s="322"/>
      <c r="U20" s="322"/>
      <c r="V20" s="322"/>
      <c r="W20" s="322"/>
    </row>
    <row r="21" spans="2:23" ht="21" customHeight="1">
      <c r="B21" s="481" t="s">
        <v>389</v>
      </c>
      <c r="C21" s="668"/>
      <c r="D21" s="668"/>
      <c r="E21" s="668"/>
      <c r="F21" s="668"/>
      <c r="G21" s="331" t="s">
        <v>482</v>
      </c>
      <c r="H21" s="580"/>
      <c r="I21" s="331" t="s">
        <v>482</v>
      </c>
      <c r="J21" s="580"/>
      <c r="K21" s="331" t="s">
        <v>482</v>
      </c>
      <c r="L21" s="580"/>
      <c r="M21" s="331" t="s">
        <v>482</v>
      </c>
      <c r="N21" s="1224">
        <f t="shared" si="0"/>
        <v>0</v>
      </c>
      <c r="Q21" s="322"/>
      <c r="R21" s="322"/>
      <c r="S21" s="322"/>
      <c r="T21" s="322"/>
      <c r="U21" s="322"/>
      <c r="V21" s="322"/>
      <c r="W21" s="322"/>
    </row>
    <row r="22" spans="2:23" ht="21" customHeight="1">
      <c r="B22" s="481" t="s">
        <v>390</v>
      </c>
      <c r="C22" s="668"/>
      <c r="D22" s="668"/>
      <c r="E22" s="668"/>
      <c r="F22" s="668"/>
      <c r="G22" s="331" t="s">
        <v>482</v>
      </c>
      <c r="H22" s="580"/>
      <c r="I22" s="331" t="s">
        <v>482</v>
      </c>
      <c r="J22" s="580"/>
      <c r="K22" s="331" t="s">
        <v>482</v>
      </c>
      <c r="L22" s="580"/>
      <c r="M22" s="331" t="s">
        <v>482</v>
      </c>
      <c r="N22" s="1224">
        <f t="shared" si="0"/>
        <v>0</v>
      </c>
      <c r="Q22" s="322"/>
      <c r="R22" s="322"/>
      <c r="S22" s="322"/>
      <c r="T22" s="322"/>
      <c r="U22" s="322"/>
      <c r="V22" s="322"/>
      <c r="W22" s="322"/>
    </row>
    <row r="23" spans="2:23" ht="21" customHeight="1">
      <c r="B23" s="481"/>
      <c r="C23" s="1348" t="s">
        <v>3781</v>
      </c>
      <c r="D23" s="1226"/>
      <c r="E23" s="1226"/>
      <c r="F23" s="1226"/>
      <c r="G23" s="1136" t="s">
        <v>482</v>
      </c>
      <c r="H23" s="1225">
        <f>H21+H22</f>
        <v>0</v>
      </c>
      <c r="I23" s="1136" t="s">
        <v>482</v>
      </c>
      <c r="J23" s="1225">
        <f>J21+J22</f>
        <v>0</v>
      </c>
      <c r="K23" s="1136" t="s">
        <v>482</v>
      </c>
      <c r="L23" s="1225">
        <f>L21+L22</f>
        <v>0</v>
      </c>
      <c r="M23" s="1146" t="s">
        <v>482</v>
      </c>
      <c r="N23" s="1224">
        <f t="shared" si="0"/>
        <v>0</v>
      </c>
      <c r="Q23" s="322"/>
      <c r="R23" s="322"/>
      <c r="S23" s="322"/>
      <c r="T23" s="322"/>
      <c r="U23" s="322"/>
      <c r="V23" s="322"/>
      <c r="W23" s="322"/>
    </row>
    <row r="24" spans="2:23">
      <c r="B24" s="481"/>
      <c r="C24" s="1146"/>
      <c r="D24" s="1146"/>
      <c r="E24" s="1146"/>
      <c r="F24" s="1146"/>
      <c r="G24" s="1146"/>
      <c r="H24" s="1146"/>
      <c r="I24" s="1146"/>
      <c r="J24" s="1146"/>
      <c r="K24" s="1146"/>
      <c r="L24" s="1146"/>
      <c r="M24" s="1146"/>
      <c r="N24" s="1146"/>
      <c r="Q24" s="322"/>
      <c r="R24" s="322"/>
      <c r="S24" s="322"/>
      <c r="T24" s="322"/>
      <c r="U24" s="322"/>
      <c r="V24" s="322"/>
      <c r="W24" s="322"/>
    </row>
    <row r="25" spans="2:23">
      <c r="B25" s="481"/>
      <c r="C25" s="1146" t="s">
        <v>1133</v>
      </c>
      <c r="D25" s="1146"/>
      <c r="E25" s="1146"/>
      <c r="F25" s="1146"/>
      <c r="G25" s="1146"/>
      <c r="H25" s="1146"/>
      <c r="I25" s="1146"/>
      <c r="J25" s="1146"/>
      <c r="K25" s="1146"/>
      <c r="L25" s="1146"/>
      <c r="M25" s="1146"/>
      <c r="N25" s="1146"/>
      <c r="Q25" s="322"/>
      <c r="R25" s="322"/>
      <c r="S25" s="322"/>
      <c r="T25" s="322"/>
      <c r="U25" s="322"/>
      <c r="V25" s="322"/>
      <c r="W25" s="322"/>
    </row>
    <row r="26" spans="2:23">
      <c r="B26" s="1347"/>
      <c r="C26" s="1146"/>
      <c r="D26" s="1146"/>
      <c r="E26" s="1146"/>
      <c r="F26" s="1146"/>
      <c r="G26" s="1146"/>
      <c r="H26" s="1146"/>
      <c r="I26" s="1146"/>
      <c r="J26" s="1146"/>
      <c r="K26" s="1146"/>
      <c r="L26" s="1146"/>
      <c r="M26" s="1146"/>
      <c r="N26" s="1146"/>
      <c r="Q26" s="322"/>
      <c r="R26" s="322"/>
      <c r="S26" s="322"/>
      <c r="T26" s="322"/>
      <c r="U26" s="322"/>
      <c r="V26" s="322"/>
      <c r="W26" s="322"/>
    </row>
    <row r="27" spans="2:23">
      <c r="B27" s="1347"/>
      <c r="C27" s="1146"/>
      <c r="D27" s="1146"/>
      <c r="E27" s="1146"/>
      <c r="F27" s="1146"/>
      <c r="G27" s="1146"/>
      <c r="H27" s="1146"/>
      <c r="I27" s="1146"/>
      <c r="J27" s="1146"/>
      <c r="K27" s="1146"/>
      <c r="L27" s="1146"/>
      <c r="M27" s="1146"/>
      <c r="N27" s="1146"/>
      <c r="Q27" s="322"/>
      <c r="R27" s="322"/>
      <c r="S27" s="322"/>
      <c r="T27" s="322"/>
      <c r="U27" s="322"/>
      <c r="V27" s="322"/>
      <c r="W27" s="322"/>
    </row>
    <row r="28" spans="2:23" ht="15.6">
      <c r="B28" s="1927" t="s">
        <v>530</v>
      </c>
      <c r="C28" s="1927"/>
      <c r="D28" s="1927"/>
      <c r="E28" s="1927"/>
      <c r="F28" s="1927"/>
      <c r="G28" s="1927"/>
      <c r="H28" s="1927"/>
      <c r="I28" s="1927"/>
      <c r="J28" s="1927"/>
      <c r="K28" s="1927"/>
      <c r="L28" s="1927"/>
      <c r="M28" s="1927"/>
      <c r="N28" s="1927"/>
    </row>
    <row r="29" spans="2:23" ht="15.6">
      <c r="B29" s="1927" t="s">
        <v>531</v>
      </c>
      <c r="C29" s="1927"/>
      <c r="D29" s="1927"/>
      <c r="E29" s="1927"/>
      <c r="F29" s="1927"/>
      <c r="G29" s="1927"/>
      <c r="H29" s="1927"/>
      <c r="I29" s="1927"/>
      <c r="J29" s="1927"/>
      <c r="K29" s="1927"/>
      <c r="L29" s="1927"/>
      <c r="M29" s="1927"/>
      <c r="N29" s="1927"/>
    </row>
    <row r="30" spans="2:23" ht="6.75" customHeight="1">
      <c r="B30" s="1349"/>
      <c r="C30" s="1349"/>
      <c r="D30" s="1349"/>
      <c r="E30" s="1349"/>
      <c r="F30" s="1349"/>
      <c r="G30" s="1349"/>
      <c r="H30" s="1349"/>
      <c r="I30" s="1349"/>
      <c r="J30" s="1349"/>
      <c r="K30" s="1349"/>
      <c r="L30" s="1349"/>
      <c r="M30" s="1349"/>
      <c r="N30" s="1349"/>
    </row>
    <row r="31" spans="2:23" ht="18" customHeight="1">
      <c r="B31" s="1347"/>
      <c r="C31" s="1146"/>
      <c r="D31" s="1931" t="s">
        <v>18</v>
      </c>
      <c r="E31" s="1931"/>
      <c r="F31" s="1350"/>
      <c r="G31" s="1931" t="s">
        <v>532</v>
      </c>
      <c r="H31" s="1931"/>
      <c r="I31" s="1931"/>
      <c r="J31" s="1931"/>
      <c r="K31" s="1931"/>
      <c r="L31" s="1931"/>
      <c r="M31" s="1350"/>
      <c r="N31" s="1351" t="s">
        <v>533</v>
      </c>
    </row>
    <row r="32" spans="2:23" ht="21" customHeight="1">
      <c r="B32" s="481"/>
      <c r="C32" s="481" t="s">
        <v>384</v>
      </c>
      <c r="D32" s="668"/>
      <c r="E32" s="668"/>
      <c r="G32" s="668"/>
      <c r="H32" s="668"/>
      <c r="I32" s="668"/>
      <c r="J32" s="668"/>
      <c r="K32" s="668"/>
      <c r="L32" s="668"/>
      <c r="M32" s="331" t="s">
        <v>482</v>
      </c>
      <c r="N32" s="376"/>
    </row>
    <row r="33" spans="2:14" ht="21" customHeight="1">
      <c r="B33" s="481"/>
      <c r="C33" s="481" t="s">
        <v>385</v>
      </c>
      <c r="D33" s="668"/>
      <c r="E33" s="668"/>
      <c r="G33" s="668"/>
      <c r="H33" s="668"/>
      <c r="I33" s="668"/>
      <c r="J33" s="668"/>
      <c r="K33" s="668"/>
      <c r="L33" s="668"/>
      <c r="M33" s="331" t="s">
        <v>482</v>
      </c>
      <c r="N33" s="376"/>
    </row>
    <row r="34" spans="2:14" ht="21" customHeight="1">
      <c r="B34" s="481"/>
      <c r="C34" s="481" t="s">
        <v>386</v>
      </c>
      <c r="D34" s="668"/>
      <c r="E34" s="668"/>
      <c r="G34" s="668"/>
      <c r="H34" s="668"/>
      <c r="I34" s="668"/>
      <c r="J34" s="668"/>
      <c r="K34" s="668"/>
      <c r="L34" s="668"/>
      <c r="M34" s="331" t="s">
        <v>482</v>
      </c>
      <c r="N34" s="376"/>
    </row>
    <row r="35" spans="2:14" ht="21" customHeight="1">
      <c r="B35" s="481"/>
      <c r="C35" s="481" t="s">
        <v>387</v>
      </c>
      <c r="D35" s="668"/>
      <c r="E35" s="668"/>
      <c r="G35" s="668"/>
      <c r="H35" s="668"/>
      <c r="I35" s="668"/>
      <c r="J35" s="668"/>
      <c r="K35" s="668"/>
      <c r="L35" s="668"/>
      <c r="M35" s="331" t="s">
        <v>482</v>
      </c>
      <c r="N35" s="376"/>
    </row>
    <row r="36" spans="2:14" ht="21" customHeight="1">
      <c r="B36" s="481"/>
      <c r="C36" s="481" t="s">
        <v>388</v>
      </c>
      <c r="D36" s="668"/>
      <c r="E36" s="668"/>
      <c r="G36" s="668"/>
      <c r="H36" s="668"/>
      <c r="I36" s="668"/>
      <c r="J36" s="668"/>
      <c r="K36" s="668"/>
      <c r="L36" s="668"/>
      <c r="M36" s="331" t="s">
        <v>482</v>
      </c>
      <c r="N36" s="376"/>
    </row>
    <row r="37" spans="2:14">
      <c r="B37" s="1347"/>
      <c r="C37" s="1146"/>
      <c r="D37" s="1146"/>
      <c r="E37" s="1146"/>
      <c r="F37" s="1146"/>
      <c r="G37" s="1146"/>
      <c r="H37" s="1146"/>
      <c r="I37" s="1146"/>
      <c r="J37" s="1146"/>
      <c r="K37" s="1146"/>
      <c r="L37" s="1146"/>
      <c r="M37" s="1146"/>
      <c r="N37" s="1146"/>
    </row>
    <row r="38" spans="2:14">
      <c r="B38" s="1347"/>
      <c r="C38" s="1146"/>
      <c r="D38" s="1146"/>
      <c r="E38" s="1146"/>
      <c r="F38" s="1146"/>
      <c r="G38" s="1146"/>
      <c r="H38" s="1146"/>
      <c r="I38" s="1146"/>
      <c r="J38" s="1146"/>
      <c r="K38" s="1146"/>
      <c r="L38" s="1146"/>
      <c r="M38" s="1146"/>
      <c r="N38" s="1146"/>
    </row>
    <row r="39" spans="2:14">
      <c r="B39" s="1347"/>
      <c r="C39" s="1146"/>
      <c r="D39" s="1146"/>
      <c r="E39" s="1146"/>
      <c r="F39" s="1146"/>
      <c r="G39" s="1146"/>
      <c r="H39" s="1146"/>
      <c r="I39" s="1146"/>
      <c r="J39" s="1146"/>
      <c r="K39" s="1146"/>
      <c r="L39" s="1146"/>
      <c r="M39" s="1146"/>
      <c r="N39" s="1146"/>
    </row>
    <row r="40" spans="2:14" ht="15.6">
      <c r="B40" s="1927" t="s">
        <v>322</v>
      </c>
      <c r="C40" s="1927"/>
      <c r="D40" s="1927"/>
      <c r="E40" s="1927"/>
      <c r="F40" s="1927"/>
      <c r="G40" s="1927"/>
      <c r="H40" s="1927"/>
      <c r="I40" s="1927"/>
      <c r="J40" s="1927"/>
      <c r="K40" s="1927"/>
      <c r="L40" s="1927"/>
      <c r="M40" s="1927"/>
      <c r="N40" s="1927"/>
    </row>
    <row r="41" spans="2:14">
      <c r="B41" s="1347"/>
      <c r="C41" s="1146"/>
      <c r="D41" s="1146"/>
      <c r="E41" s="1146"/>
      <c r="F41" s="1146"/>
      <c r="G41" s="1146"/>
      <c r="H41" s="1146"/>
      <c r="I41" s="1146"/>
      <c r="J41" s="1146"/>
      <c r="K41" s="1146"/>
      <c r="L41" s="1146"/>
      <c r="M41" s="1146"/>
      <c r="N41" s="1146"/>
    </row>
    <row r="42" spans="2:14">
      <c r="B42" s="1347"/>
      <c r="C42" s="1146"/>
      <c r="D42" s="1146"/>
      <c r="E42" s="1146"/>
      <c r="F42" s="1146"/>
      <c r="G42" s="1146"/>
      <c r="H42" s="1146"/>
      <c r="I42" s="1146"/>
      <c r="J42" s="1146"/>
      <c r="K42" s="1146"/>
      <c r="L42" s="1146"/>
      <c r="M42" s="1146"/>
      <c r="N42" s="1141" t="s">
        <v>538</v>
      </c>
    </row>
    <row r="43" spans="2:14">
      <c r="B43" s="1347"/>
      <c r="C43" s="1146"/>
      <c r="D43" s="1146"/>
      <c r="E43" s="1146"/>
      <c r="F43" s="1146"/>
      <c r="G43" s="1146"/>
      <c r="H43" s="1146"/>
      <c r="I43" s="1146"/>
      <c r="J43" s="1146"/>
      <c r="K43" s="1146"/>
      <c r="L43" s="1146"/>
      <c r="M43" s="1146"/>
      <c r="N43" s="1141" t="s">
        <v>539</v>
      </c>
    </row>
    <row r="44" spans="2:14">
      <c r="B44" s="1347"/>
      <c r="C44" s="1146"/>
      <c r="D44" s="1930" t="s">
        <v>535</v>
      </c>
      <c r="E44" s="1930"/>
      <c r="F44" s="1146"/>
      <c r="G44" s="1146"/>
      <c r="H44" s="1930" t="s">
        <v>536</v>
      </c>
      <c r="I44" s="1930"/>
      <c r="J44" s="1345" t="s">
        <v>537</v>
      </c>
      <c r="K44" s="1146"/>
      <c r="L44" s="1345" t="s">
        <v>533</v>
      </c>
      <c r="M44" s="1146"/>
      <c r="N44" s="1345" t="str">
        <f>"Year "&amp;TEXT('KEY INPUTS'!D34,"0")&amp;""</f>
        <v>Year 2019</v>
      </c>
    </row>
    <row r="45" spans="2:14">
      <c r="B45" s="1347"/>
      <c r="C45" s="1146"/>
      <c r="D45" s="1146"/>
      <c r="E45" s="1146"/>
      <c r="F45" s="1146"/>
      <c r="G45" s="1146"/>
      <c r="H45" s="1146"/>
      <c r="I45" s="1146"/>
      <c r="J45" s="1146"/>
      <c r="K45" s="1146"/>
      <c r="L45" s="1146"/>
      <c r="M45" s="1146"/>
      <c r="N45" s="1146"/>
    </row>
    <row r="46" spans="2:14" ht="21" customHeight="1">
      <c r="B46" s="481"/>
      <c r="C46" s="481" t="s">
        <v>384</v>
      </c>
      <c r="D46" s="668"/>
      <c r="E46" s="668"/>
      <c r="F46" s="668"/>
      <c r="G46" s="668"/>
      <c r="H46" s="668"/>
      <c r="I46" s="668"/>
      <c r="J46" s="668"/>
      <c r="K46" s="331" t="s">
        <v>482</v>
      </c>
      <c r="L46" s="376"/>
      <c r="M46" s="667"/>
      <c r="N46" s="376"/>
    </row>
    <row r="47" spans="2:14" ht="21" customHeight="1">
      <c r="B47" s="481"/>
      <c r="C47" s="481" t="s">
        <v>385</v>
      </c>
      <c r="D47" s="668"/>
      <c r="E47" s="668"/>
      <c r="F47" s="668"/>
      <c r="G47" s="668"/>
      <c r="H47" s="668"/>
      <c r="I47" s="668"/>
      <c r="J47" s="668"/>
      <c r="K47" s="331" t="s">
        <v>482</v>
      </c>
      <c r="L47" s="376"/>
      <c r="M47" s="667"/>
      <c r="N47" s="376"/>
    </row>
    <row r="48" spans="2:14" ht="21" customHeight="1">
      <c r="B48" s="481"/>
      <c r="C48" s="481" t="s">
        <v>386</v>
      </c>
      <c r="D48" s="668"/>
      <c r="E48" s="668"/>
      <c r="F48" s="668"/>
      <c r="G48" s="668"/>
      <c r="H48" s="668"/>
      <c r="I48" s="668"/>
      <c r="J48" s="668"/>
      <c r="K48" s="331" t="s">
        <v>482</v>
      </c>
      <c r="L48" s="376"/>
      <c r="M48" s="667"/>
      <c r="N48" s="376"/>
    </row>
    <row r="49" spans="2:14" ht="21" customHeight="1">
      <c r="B49" s="481"/>
      <c r="C49" s="481" t="s">
        <v>387</v>
      </c>
      <c r="D49" s="668"/>
      <c r="E49" s="668"/>
      <c r="F49" s="668"/>
      <c r="G49" s="668"/>
      <c r="H49" s="668"/>
      <c r="I49" s="668"/>
      <c r="J49" s="668"/>
      <c r="K49" s="331" t="s">
        <v>482</v>
      </c>
      <c r="L49" s="376"/>
      <c r="M49" s="667"/>
      <c r="N49" s="376"/>
    </row>
    <row r="50" spans="2:14">
      <c r="B50" s="481"/>
    </row>
    <row r="51" spans="2:14">
      <c r="B51" s="481"/>
    </row>
    <row r="52" spans="2:14">
      <c r="B52" s="481"/>
    </row>
    <row r="53" spans="2:14">
      <c r="B53" s="481"/>
    </row>
    <row r="54" spans="2:14">
      <c r="B54" s="481"/>
    </row>
    <row r="55" spans="2:14">
      <c r="B55" s="481"/>
    </row>
    <row r="56" spans="2:14">
      <c r="B56" s="481"/>
    </row>
    <row r="57" spans="2:14">
      <c r="B57" s="481"/>
    </row>
    <row r="58" spans="2:14">
      <c r="B58" s="481"/>
    </row>
    <row r="59" spans="2:14">
      <c r="B59" s="481"/>
    </row>
    <row r="60" spans="2:14">
      <c r="B60" s="481"/>
    </row>
    <row r="61" spans="2:14" ht="13.8">
      <c r="B61" s="1813" t="s">
        <v>3443</v>
      </c>
      <c r="C61" s="1813"/>
      <c r="D61" s="1813"/>
      <c r="E61" s="1813"/>
      <c r="F61" s="1813"/>
      <c r="G61" s="1813"/>
      <c r="H61" s="1813"/>
      <c r="I61" s="1813"/>
      <c r="J61" s="1813"/>
      <c r="K61" s="1813"/>
      <c r="L61" s="1813"/>
      <c r="M61" s="1813"/>
      <c r="N61" s="1813"/>
    </row>
    <row r="62" spans="2:14">
      <c r="B62" s="481"/>
    </row>
    <row r="63" spans="2:14">
      <c r="B63" s="481"/>
    </row>
    <row r="64" spans="2:14">
      <c r="B64" s="481"/>
    </row>
    <row r="65" spans="2:2">
      <c r="B65" s="481"/>
    </row>
    <row r="66" spans="2:2">
      <c r="B66" s="481"/>
    </row>
    <row r="67" spans="2:2">
      <c r="B67" s="481"/>
    </row>
    <row r="68" spans="2:2">
      <c r="B68" s="481"/>
    </row>
    <row r="69" spans="2:2">
      <c r="B69" s="481"/>
    </row>
  </sheetData>
  <sheetProtection algorithmName="SHA-512" hashValue="GdK98x2gXto03YmYRt2Lo5fYiTJfObmTtVjWnXH6gXaDKjAn2AaSfbVvN/tiH3MO6W7gTNJ/H0r6TxA3nJkOQg==" saltValue="9K4ZpFJBe5tH81307bD7P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13">
    <mergeCell ref="B61:N61"/>
    <mergeCell ref="B29:N29"/>
    <mergeCell ref="D31:E31"/>
    <mergeCell ref="G31:L31"/>
    <mergeCell ref="B40:N40"/>
    <mergeCell ref="D44:E44"/>
    <mergeCell ref="H44:I44"/>
    <mergeCell ref="B28:N28"/>
    <mergeCell ref="B3:N3"/>
    <mergeCell ref="B4:N4"/>
    <mergeCell ref="B5:N5"/>
    <mergeCell ref="B6:N6"/>
    <mergeCell ref="C9:E9"/>
  </mergeCells>
  <pageMargins left="0.25" right="0.25" top="0.5" bottom="0.5" header="0.25" footer="0.25"/>
  <pageSetup paperSize="5" orientation="portrait" r:id="rId5"/>
  <headerFooter alignWithMargins="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4">
    <tabColor theme="2" tint="-0.249977111117893"/>
  </sheetPr>
  <dimension ref="B2:U50"/>
  <sheetViews>
    <sheetView zoomScaleNormal="100" zoomScaleSheetLayoutView="80" workbookViewId="0">
      <selection activeCell="B1" sqref="B1"/>
    </sheetView>
  </sheetViews>
  <sheetFormatPr defaultColWidth="8.88671875" defaultRowHeight="13.2"/>
  <cols>
    <col min="1" max="4" width="4.6640625" style="398" customWidth="1"/>
    <col min="5" max="5" width="17.88671875" style="398" customWidth="1"/>
    <col min="6" max="6" width="8.88671875" style="398"/>
    <col min="7" max="7" width="16.6640625" style="398" customWidth="1"/>
    <col min="8" max="8" width="1.6640625" style="398" customWidth="1"/>
    <col min="9" max="9" width="15.6640625" style="398" customWidth="1"/>
    <col min="10" max="10" width="1.6640625" style="398" customWidth="1"/>
    <col min="11" max="11" width="8.6640625" style="398" customWidth="1"/>
    <col min="12" max="12" width="7.6640625" style="398" customWidth="1"/>
    <col min="13" max="15" width="8.88671875" style="398"/>
    <col min="16" max="17" width="10.33203125" style="398" bestFit="1" customWidth="1"/>
    <col min="18" max="16384" width="8.88671875" style="398"/>
  </cols>
  <sheetData>
    <row r="2" spans="2:21" ht="20.399999999999999">
      <c r="B2" s="1788" t="s">
        <v>160</v>
      </c>
      <c r="C2" s="1788"/>
      <c r="D2" s="1788"/>
      <c r="E2" s="1788"/>
      <c r="F2" s="1788"/>
      <c r="G2" s="1788"/>
      <c r="H2" s="1788"/>
      <c r="I2" s="1788"/>
      <c r="J2" s="1788"/>
      <c r="K2" s="1788"/>
      <c r="L2" s="1788"/>
    </row>
    <row r="3" spans="2:21" ht="20.399999999999999">
      <c r="B3" s="1788" t="str">
        <f>"AND  "&amp;TEXT('KEY INPUTS'!D34+1,"0")&amp;"  DEBT  SERVICE  FOR  BONDS"</f>
        <v>AND  2020  DEBT  SERVICE  FOR  BONDS</v>
      </c>
      <c r="C3" s="1788"/>
      <c r="D3" s="1788"/>
      <c r="E3" s="1788"/>
      <c r="F3" s="1788"/>
      <c r="G3" s="1788"/>
      <c r="H3" s="1788"/>
      <c r="I3" s="1788"/>
      <c r="J3" s="1788"/>
      <c r="K3" s="1788"/>
      <c r="L3" s="1788"/>
    </row>
    <row r="4" spans="2:21" ht="15.6">
      <c r="B4" s="1761" t="str">
        <f>UPPER('KEY INPUTS'!D55)&amp;" UTILITY  ASSESSMENT  BONDS"</f>
        <v xml:space="preserve"> UTILITY  ASSESSMENT  BONDS</v>
      </c>
      <c r="C4" s="1761"/>
      <c r="D4" s="1761"/>
      <c r="E4" s="1761"/>
      <c r="F4" s="1761"/>
      <c r="G4" s="1761"/>
      <c r="H4" s="1761"/>
      <c r="I4" s="1761"/>
      <c r="J4" s="1761"/>
      <c r="K4" s="1761"/>
      <c r="L4" s="1761"/>
    </row>
    <row r="5" spans="2:21" ht="9.75" customHeight="1" thickBot="1">
      <c r="B5" s="1379"/>
      <c r="C5" s="1379"/>
      <c r="D5" s="1379"/>
      <c r="E5" s="1379"/>
      <c r="F5" s="1379"/>
      <c r="G5" s="1379"/>
      <c r="H5" s="1379"/>
      <c r="I5" s="1379"/>
      <c r="J5" s="1379"/>
      <c r="K5" s="1379"/>
      <c r="L5" s="1379"/>
    </row>
    <row r="6" spans="2:21" ht="27.75" customHeight="1" thickTop="1" thickBot="1">
      <c r="B6" s="1333"/>
      <c r="C6" s="1333"/>
      <c r="D6" s="1333"/>
      <c r="E6" s="1333"/>
      <c r="F6" s="1333"/>
      <c r="G6" s="1115" t="s">
        <v>125</v>
      </c>
      <c r="H6" s="1932" t="s">
        <v>126</v>
      </c>
      <c r="I6" s="1763"/>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70"/>
      <c r="D7" s="1170"/>
      <c r="E7" s="1170"/>
      <c r="F7" s="1170"/>
      <c r="G7" s="1171" t="s">
        <v>787</v>
      </c>
      <c r="H7" s="1705"/>
      <c r="I7" s="1706"/>
      <c r="K7" s="1114"/>
      <c r="L7" s="1114"/>
      <c r="O7" s="322"/>
      <c r="P7" s="322"/>
      <c r="Q7" s="322"/>
      <c r="R7" s="322"/>
      <c r="S7" s="322"/>
      <c r="T7" s="322"/>
      <c r="U7" s="322"/>
    </row>
    <row r="8" spans="2:21" ht="21" customHeight="1">
      <c r="B8" s="690" t="s">
        <v>113</v>
      </c>
      <c r="C8" s="690"/>
      <c r="D8" s="690"/>
      <c r="E8" s="690"/>
      <c r="F8" s="690"/>
      <c r="G8" s="1174" t="s">
        <v>787</v>
      </c>
      <c r="H8" s="1679"/>
      <c r="I8" s="1680"/>
      <c r="K8" s="1114"/>
      <c r="L8" s="1114"/>
      <c r="O8" s="377"/>
      <c r="P8" s="322"/>
      <c r="Q8" s="322"/>
      <c r="R8" s="322"/>
      <c r="S8" s="322"/>
      <c r="T8" s="322"/>
      <c r="U8" s="322"/>
    </row>
    <row r="9" spans="2:21" ht="21" customHeight="1">
      <c r="B9" s="690"/>
      <c r="C9" s="690"/>
      <c r="D9" s="690"/>
      <c r="E9" s="690"/>
      <c r="F9" s="690"/>
      <c r="G9" s="1174"/>
      <c r="H9" s="1380"/>
      <c r="I9" s="1229"/>
      <c r="K9" s="1114"/>
      <c r="L9" s="1114"/>
      <c r="O9" s="322"/>
      <c r="P9" s="322"/>
      <c r="Q9" s="322"/>
      <c r="R9" s="322"/>
      <c r="S9" s="322"/>
      <c r="T9" s="322"/>
      <c r="U9" s="322"/>
    </row>
    <row r="10" spans="2:21" ht="21" customHeight="1">
      <c r="B10" s="690" t="s">
        <v>326</v>
      </c>
      <c r="C10" s="690"/>
      <c r="D10" s="690"/>
      <c r="E10" s="690"/>
      <c r="F10" s="690"/>
      <c r="G10" s="601"/>
      <c r="H10" s="1830" t="s">
        <v>787</v>
      </c>
      <c r="I10" s="1831"/>
      <c r="K10" s="1114"/>
      <c r="L10" s="1114"/>
      <c r="O10" s="322"/>
      <c r="P10" s="322"/>
      <c r="Q10" s="322"/>
      <c r="R10" s="322"/>
      <c r="S10" s="322"/>
      <c r="T10" s="322"/>
      <c r="U10" s="322"/>
    </row>
    <row r="11" spans="2:21" ht="21" customHeight="1" thickBot="1">
      <c r="B11" s="690" t="str">
        <f>'KEY INPUTS'!D28</f>
        <v>Outstanding - December 31, 2019</v>
      </c>
      <c r="C11" s="690"/>
      <c r="D11" s="690"/>
      <c r="E11" s="690"/>
      <c r="F11" s="690"/>
      <c r="G11" s="1129">
        <f>+H7+H8-G10</f>
        <v>0</v>
      </c>
      <c r="H11" s="1832" t="s">
        <v>787</v>
      </c>
      <c r="I11" s="1833"/>
      <c r="K11" s="1114"/>
      <c r="L11" s="1114"/>
      <c r="O11" s="322"/>
      <c r="P11" s="322"/>
      <c r="Q11" s="322"/>
      <c r="R11" s="322"/>
      <c r="S11" s="322"/>
      <c r="T11" s="322"/>
      <c r="U11" s="322"/>
    </row>
    <row r="12" spans="2:21" ht="21" customHeight="1" thickBot="1">
      <c r="B12" s="1114"/>
      <c r="C12" s="1114"/>
      <c r="D12" s="1114"/>
      <c r="E12" s="1114"/>
      <c r="F12" s="1114"/>
      <c r="G12" s="1131">
        <f>SUM(G7:G11)</f>
        <v>0</v>
      </c>
      <c r="H12" s="1837">
        <f>SUM(H7:I11)</f>
        <v>0</v>
      </c>
      <c r="I12" s="1838"/>
      <c r="K12" s="1114"/>
      <c r="L12" s="1114"/>
      <c r="O12" s="322"/>
      <c r="P12" s="322"/>
      <c r="Q12" s="322"/>
      <c r="R12" s="322"/>
      <c r="S12" s="322"/>
      <c r="T12" s="322"/>
      <c r="U12" s="322"/>
    </row>
    <row r="13" spans="2:21" ht="21" customHeight="1" thickTop="1">
      <c r="B13" s="1382" t="str">
        <f>TEXT('KEY INPUTS'!D34+1,"0")&amp;" Bond Maturities - Assessment Bonds"</f>
        <v>2020 Bond Maturities - Assessment Bonds</v>
      </c>
      <c r="C13" s="1128"/>
      <c r="D13" s="1128"/>
      <c r="E13" s="1128"/>
      <c r="F13" s="1128"/>
      <c r="G13" s="1128"/>
      <c r="H13" s="1128"/>
      <c r="I13" s="1381"/>
      <c r="J13" s="451" t="s">
        <v>482</v>
      </c>
      <c r="K13" s="1714"/>
      <c r="L13" s="1714"/>
      <c r="O13" s="322"/>
      <c r="P13" s="322"/>
      <c r="Q13" s="322"/>
      <c r="R13" s="322"/>
      <c r="S13" s="322"/>
      <c r="T13" s="322"/>
      <c r="U13" s="322"/>
    </row>
    <row r="14" spans="2:21" ht="21" customHeight="1" thickBot="1">
      <c r="B14" s="1383" t="str">
        <f>TEXT('KEY INPUTS'!D34+1,"0")&amp;" Interest on Bonds"</f>
        <v>2020 Interest on Bonds</v>
      </c>
      <c r="C14" s="1232"/>
      <c r="D14" s="1232"/>
      <c r="E14" s="1232"/>
      <c r="F14" s="1232"/>
      <c r="G14" s="1257"/>
      <c r="H14" s="488" t="s">
        <v>482</v>
      </c>
      <c r="I14" s="608"/>
      <c r="J14" s="1114"/>
      <c r="K14" s="1114"/>
      <c r="L14" s="1114"/>
      <c r="O14" s="322"/>
      <c r="P14" s="322"/>
      <c r="Q14" s="322"/>
      <c r="R14" s="322"/>
      <c r="S14" s="322"/>
      <c r="T14" s="322"/>
      <c r="U14" s="322"/>
    </row>
    <row r="15" spans="2:21" ht="16.5" customHeight="1" thickTop="1">
      <c r="B15" s="1951"/>
      <c r="C15" s="1951"/>
      <c r="D15" s="1951"/>
      <c r="E15" s="1951"/>
      <c r="F15" s="1951"/>
      <c r="G15" s="1951"/>
      <c r="H15" s="1951"/>
      <c r="I15" s="1952"/>
      <c r="J15" s="1114"/>
      <c r="K15" s="1114"/>
      <c r="L15" s="1114"/>
      <c r="O15" s="322"/>
      <c r="P15" s="322"/>
      <c r="Q15" s="322"/>
      <c r="R15" s="322"/>
      <c r="S15" s="322"/>
      <c r="T15" s="322"/>
      <c r="U15" s="322"/>
    </row>
    <row r="16" spans="2:21" ht="26.25" customHeight="1" thickBot="1">
      <c r="B16" s="1935" t="str">
        <f>UPPER('KEY INPUTS'!D55) &amp;" UTILITY  CAPITAL  BONDS"</f>
        <v xml:space="preserve"> UTILITY  CAPITAL  BONDS</v>
      </c>
      <c r="C16" s="1935"/>
      <c r="D16" s="1935"/>
      <c r="E16" s="1935"/>
      <c r="F16" s="1935"/>
      <c r="G16" s="1935"/>
      <c r="H16" s="1935"/>
      <c r="I16" s="1936"/>
      <c r="J16" s="1114"/>
      <c r="K16" s="1114"/>
      <c r="L16" s="1114"/>
      <c r="O16" s="322"/>
      <c r="P16" s="322"/>
      <c r="Q16" s="322"/>
      <c r="R16" s="322"/>
      <c r="S16" s="322"/>
      <c r="T16" s="322"/>
      <c r="U16" s="322"/>
    </row>
    <row r="17" spans="2:21" ht="21" customHeight="1" thickTop="1">
      <c r="B17" s="1211" t="str">
        <f>'KEY INPUTS'!D27</f>
        <v>Outstanding - January 1, 2019</v>
      </c>
      <c r="C17" s="1170"/>
      <c r="D17" s="1170"/>
      <c r="E17" s="1170"/>
      <c r="F17" s="1170"/>
      <c r="G17" s="1171" t="s">
        <v>787</v>
      </c>
      <c r="H17" s="1705"/>
      <c r="I17" s="1706"/>
      <c r="J17" s="1114"/>
      <c r="K17" s="1114"/>
      <c r="L17" s="1114"/>
      <c r="O17" s="322"/>
      <c r="P17" s="322"/>
      <c r="Q17" s="322"/>
      <c r="R17" s="322"/>
      <c r="S17" s="322"/>
      <c r="T17" s="322"/>
      <c r="U17" s="322"/>
    </row>
    <row r="18" spans="2:21" ht="21" customHeight="1">
      <c r="B18" s="690" t="s">
        <v>113</v>
      </c>
      <c r="C18" s="690"/>
      <c r="D18" s="690"/>
      <c r="E18" s="690"/>
      <c r="F18" s="690"/>
      <c r="G18" s="1174" t="s">
        <v>787</v>
      </c>
      <c r="H18" s="1679"/>
      <c r="I18" s="1680"/>
      <c r="J18" s="1114"/>
      <c r="K18" s="1114"/>
      <c r="L18" s="1114"/>
      <c r="O18" s="322"/>
      <c r="P18" s="322"/>
      <c r="Q18" s="322"/>
      <c r="R18" s="322"/>
      <c r="S18" s="322"/>
      <c r="T18" s="322"/>
      <c r="U18" s="322"/>
    </row>
    <row r="19" spans="2:21" ht="21" customHeight="1">
      <c r="B19" s="690" t="s">
        <v>326</v>
      </c>
      <c r="C19" s="690"/>
      <c r="D19" s="690"/>
      <c r="E19" s="690"/>
      <c r="F19" s="690"/>
      <c r="G19" s="601"/>
      <c r="H19" s="1830" t="s">
        <v>787</v>
      </c>
      <c r="I19" s="1831"/>
      <c r="J19" s="1114"/>
      <c r="K19" s="1114"/>
      <c r="L19" s="1114"/>
      <c r="O19" s="322"/>
      <c r="P19" s="322"/>
      <c r="Q19" s="322"/>
      <c r="R19" s="322"/>
      <c r="S19" s="322"/>
      <c r="T19" s="322"/>
      <c r="U19" s="322"/>
    </row>
    <row r="20" spans="2:21" ht="21" customHeight="1">
      <c r="B20" s="690"/>
      <c r="C20" s="690"/>
      <c r="D20" s="690"/>
      <c r="E20" s="690"/>
      <c r="F20" s="690"/>
      <c r="G20" s="689"/>
      <c r="H20" s="1839"/>
      <c r="I20" s="1840"/>
      <c r="J20" s="1114"/>
      <c r="K20" s="1114"/>
      <c r="L20" s="1114"/>
      <c r="O20" s="322"/>
      <c r="P20" s="322"/>
      <c r="Q20" s="322"/>
      <c r="R20" s="322"/>
      <c r="S20" s="322"/>
      <c r="T20" s="322"/>
      <c r="U20" s="322"/>
    </row>
    <row r="21" spans="2:21" ht="21" customHeight="1">
      <c r="B21" s="690"/>
      <c r="C21" s="690"/>
      <c r="D21" s="690"/>
      <c r="E21" s="690"/>
      <c r="F21" s="690"/>
      <c r="G21" s="689"/>
      <c r="H21" s="1839"/>
      <c r="I21" s="1840"/>
      <c r="J21" s="1114"/>
      <c r="K21" s="1114"/>
      <c r="L21" s="1114"/>
      <c r="O21" s="322"/>
      <c r="P21" s="322"/>
      <c r="Q21" s="322"/>
      <c r="R21" s="322"/>
      <c r="S21" s="322"/>
      <c r="T21" s="322"/>
      <c r="U21" s="322"/>
    </row>
    <row r="22" spans="2:21" ht="21" customHeight="1" thickBot="1">
      <c r="B22" s="690" t="str">
        <f>'KEY INPUTS'!D28</f>
        <v>Outstanding - December 31, 2019</v>
      </c>
      <c r="C22" s="690"/>
      <c r="D22" s="690"/>
      <c r="E22" s="690"/>
      <c r="F22" s="690"/>
      <c r="G22" s="1129">
        <f>+H17+H18-G19-G20-G21+H20+H21</f>
        <v>0</v>
      </c>
      <c r="H22" s="1832" t="s">
        <v>787</v>
      </c>
      <c r="I22" s="1833"/>
      <c r="J22" s="1114"/>
      <c r="K22" s="1114"/>
      <c r="L22" s="1114"/>
      <c r="O22" s="322"/>
      <c r="P22" s="322"/>
      <c r="Q22" s="322"/>
      <c r="R22" s="322"/>
      <c r="S22" s="322"/>
      <c r="T22" s="322"/>
      <c r="U22" s="322"/>
    </row>
    <row r="23" spans="2:21" ht="21" customHeight="1" thickBot="1">
      <c r="B23" s="1114"/>
      <c r="C23" s="1114"/>
      <c r="D23" s="1114"/>
      <c r="E23" s="1114"/>
      <c r="F23" s="1114"/>
      <c r="G23" s="1131">
        <f>SUM(G17:G22)</f>
        <v>0</v>
      </c>
      <c r="H23" s="1837">
        <f>SUM(H17:I22)</f>
        <v>0</v>
      </c>
      <c r="I23" s="1838"/>
      <c r="J23" s="1114"/>
      <c r="K23" s="1114"/>
      <c r="L23" s="1114"/>
    </row>
    <row r="24" spans="2:21" ht="21" customHeight="1" thickTop="1">
      <c r="B24" s="1382" t="str">
        <f>TEXT('KEY INPUTS'!D34+1,"0")&amp;" Bond Maturities - Capital Bonds"</f>
        <v>2020 Bond Maturities - Capital Bonds</v>
      </c>
      <c r="C24" s="1128"/>
      <c r="D24" s="1128"/>
      <c r="E24" s="1128"/>
      <c r="F24" s="1128"/>
      <c r="G24" s="1128"/>
      <c r="H24" s="1128"/>
      <c r="I24" s="1381"/>
      <c r="J24" s="451" t="s">
        <v>482</v>
      </c>
      <c r="K24" s="1714"/>
      <c r="L24" s="1714"/>
    </row>
    <row r="25" spans="2:21" ht="21" customHeight="1" thickBot="1">
      <c r="B25" s="1383" t="str">
        <f>TEXT('KEY INPUTS'!D34+1,"0")&amp;" Interest on Bonds"</f>
        <v>2020 Interest on Bonds</v>
      </c>
      <c r="C25" s="1232"/>
      <c r="D25" s="1232"/>
      <c r="E25" s="1232"/>
      <c r="F25" s="1232"/>
      <c r="G25" s="1257"/>
      <c r="H25" s="488" t="s">
        <v>482</v>
      </c>
      <c r="I25" s="608"/>
      <c r="J25" s="489"/>
      <c r="K25" s="1232"/>
      <c r="L25" s="1383" t="s">
        <v>3406</v>
      </c>
    </row>
    <row r="26" spans="2:21" ht="21" customHeight="1" thickTop="1">
      <c r="B26" s="1114"/>
      <c r="C26" s="1114"/>
      <c r="D26" s="1114"/>
      <c r="E26" s="1114"/>
      <c r="F26" s="1114"/>
      <c r="G26" s="1114"/>
      <c r="H26" s="1114"/>
      <c r="I26" s="1114"/>
      <c r="J26" s="1114"/>
      <c r="K26" s="1114"/>
      <c r="L26" s="1114"/>
    </row>
    <row r="27" spans="2:21" ht="19.5" customHeight="1" thickBot="1">
      <c r="B27" s="1935" t="str">
        <f>"INTEREST  ON  BONDS  -  "&amp;UPPER('KEY INPUTS'!D55)&amp;"  UTILITY  BUDGET"</f>
        <v>INTEREST  ON  BONDS  -    UTILITY  BUDGET</v>
      </c>
      <c r="C27" s="1935"/>
      <c r="D27" s="1935"/>
      <c r="E27" s="1935"/>
      <c r="F27" s="1935"/>
      <c r="G27" s="1935"/>
      <c r="H27" s="1935"/>
      <c r="I27" s="1935"/>
      <c r="J27" s="1935"/>
      <c r="K27" s="1935"/>
      <c r="L27" s="1935"/>
    </row>
    <row r="28" spans="2:21" ht="21" customHeight="1" thickTop="1">
      <c r="B28" s="1394" t="str">
        <f>TEXT('KEY INPUTS'!D34+1,"0")&amp;" Interest on Bonds (*Items)"</f>
        <v>2020 Interest on Bonds (*Items)</v>
      </c>
      <c r="C28" s="1170"/>
      <c r="D28" s="1170"/>
      <c r="E28" s="1170"/>
      <c r="F28" s="1170"/>
      <c r="G28" s="1170"/>
      <c r="H28" s="457" t="s">
        <v>482</v>
      </c>
      <c r="I28" s="1230">
        <f>+I14+I25</f>
        <v>0</v>
      </c>
      <c r="K28" s="1114"/>
      <c r="L28" s="1114"/>
      <c r="O28" s="464"/>
      <c r="P28" s="464"/>
      <c r="Q28" s="464"/>
      <c r="R28" s="464"/>
    </row>
    <row r="29" spans="2:21" ht="21" customHeight="1">
      <c r="B29" s="914" t="str">
        <f>"Less: Interest Accrued to "&amp;TEXT('KEY INPUTS'!D29,"mm/dd/yyy")&amp;" (Trial Balance)"</f>
        <v>Less: Interest Accrued to 12/31/2019 (Trial Balance)</v>
      </c>
      <c r="C29" s="690"/>
      <c r="D29" s="690"/>
      <c r="E29" s="690"/>
      <c r="F29" s="690"/>
      <c r="G29" s="690"/>
      <c r="H29" s="402" t="s">
        <v>482</v>
      </c>
      <c r="I29" s="672"/>
      <c r="K29" s="1114"/>
      <c r="L29" s="1114"/>
      <c r="O29" s="464"/>
      <c r="P29" s="464"/>
      <c r="Q29" s="464"/>
      <c r="R29" s="464"/>
    </row>
    <row r="30" spans="2:21" ht="21" customHeight="1">
      <c r="B30" s="690"/>
      <c r="C30" s="690" t="s">
        <v>421</v>
      </c>
      <c r="D30" s="690"/>
      <c r="E30" s="690"/>
      <c r="F30" s="690"/>
      <c r="G30" s="690"/>
      <c r="H30" s="402" t="s">
        <v>482</v>
      </c>
      <c r="I30" s="1231">
        <f>+I28-I29</f>
        <v>0</v>
      </c>
      <c r="K30" s="1114"/>
      <c r="L30" s="1114"/>
      <c r="O30" s="464"/>
      <c r="P30" s="464"/>
      <c r="Q30" s="464"/>
      <c r="R30" s="464"/>
    </row>
    <row r="31" spans="2:21" ht="21" customHeight="1">
      <c r="B31" s="914" t="str">
        <f>"Add: Interest to be Accrued as of "&amp;TEXT('KEY INPUTS'!D30,"mm/dd/yyyy")&amp;""</f>
        <v>Add: Interest to be Accrued as of 12/31/2020</v>
      </c>
      <c r="C31" s="690"/>
      <c r="D31" s="690"/>
      <c r="E31" s="690"/>
      <c r="F31" s="690"/>
      <c r="G31" s="690"/>
      <c r="H31" s="402" t="s">
        <v>482</v>
      </c>
      <c r="I31" s="672"/>
      <c r="K31" s="1114"/>
      <c r="L31" s="1114"/>
      <c r="O31" s="464"/>
      <c r="P31" s="464"/>
      <c r="Q31" s="464"/>
      <c r="R31" s="464"/>
    </row>
    <row r="32" spans="2:21" ht="21" customHeight="1">
      <c r="B32" s="914" t="str">
        <f>"Required Appropriation "&amp;TEXT('KEY INPUTS'!D34+1,"0")</f>
        <v>Required Appropriation 2020</v>
      </c>
      <c r="C32" s="690"/>
      <c r="D32" s="690"/>
      <c r="E32" s="690"/>
      <c r="F32" s="690"/>
      <c r="G32" s="690"/>
      <c r="H32" s="402"/>
      <c r="I32" s="1414"/>
      <c r="J32" s="491" t="s">
        <v>482</v>
      </c>
      <c r="K32" s="1824">
        <f>+I30+I31</f>
        <v>0</v>
      </c>
      <c r="L32" s="1825"/>
      <c r="O32" s="464"/>
      <c r="P32" s="464"/>
      <c r="Q32" s="464"/>
      <c r="R32" s="464"/>
    </row>
    <row r="33" spans="2:12" ht="13.5" customHeight="1">
      <c r="B33" s="1192"/>
      <c r="C33" s="1192"/>
      <c r="D33" s="1192"/>
      <c r="E33" s="1192"/>
      <c r="F33" s="1192"/>
      <c r="G33" s="1192"/>
      <c r="H33" s="1192"/>
      <c r="I33" s="1192"/>
      <c r="J33" s="1192"/>
      <c r="K33" s="1427"/>
      <c r="L33" s="1298"/>
    </row>
    <row r="34" spans="2:12" ht="13.5" customHeight="1">
      <c r="B34" s="1192"/>
      <c r="C34" s="1192"/>
      <c r="D34" s="1192"/>
      <c r="E34" s="1192"/>
      <c r="F34" s="1192"/>
      <c r="G34" s="1192"/>
      <c r="H34" s="1192"/>
      <c r="I34" s="1192"/>
      <c r="J34" s="1192"/>
      <c r="K34" s="1427"/>
      <c r="L34" s="1298"/>
    </row>
    <row r="35" spans="2:12" ht="21" customHeight="1" thickBot="1">
      <c r="B35" s="1938" t="str">
        <f>"LIST  OF  BONDS  ISSUED  DURING  "&amp;TEXT('KEY INPUTS'!D34,"0")&amp;""</f>
        <v>LIST  OF  BONDS  ISSUED  DURING  2019</v>
      </c>
      <c r="C35" s="1938"/>
      <c r="D35" s="1938"/>
      <c r="E35" s="1938"/>
      <c r="F35" s="1938"/>
      <c r="G35" s="1938"/>
      <c r="H35" s="1938"/>
      <c r="I35" s="1938"/>
      <c r="J35" s="1938"/>
      <c r="K35" s="1938"/>
      <c r="L35" s="1938"/>
    </row>
    <row r="36" spans="2:12" ht="27" customHeight="1" thickTop="1" thickBot="1">
      <c r="B36" s="1762" t="s">
        <v>532</v>
      </c>
      <c r="C36" s="1762"/>
      <c r="D36" s="1762"/>
      <c r="E36" s="1762"/>
      <c r="F36" s="1762"/>
      <c r="G36" s="1397" t="str">
        <f>TEXT('KEY INPUTS'!D34,"0")&amp;" Maturity"</f>
        <v>2019 Maturity</v>
      </c>
      <c r="H36" s="1932" t="s">
        <v>109</v>
      </c>
      <c r="I36" s="1763"/>
      <c r="J36" s="1953" t="s">
        <v>107</v>
      </c>
      <c r="K36" s="1954"/>
      <c r="L36" s="1413" t="s">
        <v>108</v>
      </c>
    </row>
    <row r="37" spans="2:12" ht="21" customHeight="1" thickTop="1">
      <c r="B37" s="673"/>
      <c r="C37" s="673"/>
      <c r="D37" s="673"/>
      <c r="E37" s="673"/>
      <c r="F37" s="673"/>
      <c r="G37" s="605"/>
      <c r="H37" s="1705"/>
      <c r="I37" s="1706"/>
      <c r="J37" s="1828"/>
      <c r="K37" s="1829"/>
      <c r="L37" s="917"/>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232"/>
      <c r="C41" s="1232"/>
      <c r="D41" s="1232"/>
      <c r="E41" s="1232"/>
      <c r="F41" s="1385"/>
      <c r="G41" s="1131">
        <f>SUM(G37:G40)</f>
        <v>0</v>
      </c>
      <c r="H41" s="1820">
        <f>SUM(H37:I40)</f>
        <v>0</v>
      </c>
      <c r="I41" s="1821"/>
      <c r="J41" s="1386"/>
      <c r="K41" s="1232"/>
      <c r="L41" s="1233"/>
    </row>
    <row r="42" spans="2:12" ht="13.8" thickTop="1">
      <c r="G42" s="782"/>
      <c r="H42" s="782"/>
      <c r="I42" s="782"/>
    </row>
    <row r="50" spans="2:12" ht="13.8">
      <c r="B50" s="1765" t="s">
        <v>3444</v>
      </c>
      <c r="C50" s="1765"/>
      <c r="D50" s="1765"/>
      <c r="E50" s="1765"/>
      <c r="F50" s="1765"/>
      <c r="G50" s="1765"/>
      <c r="H50" s="1765"/>
      <c r="I50" s="1765"/>
      <c r="J50" s="1765"/>
      <c r="K50" s="1765"/>
      <c r="L50" s="1765"/>
    </row>
  </sheetData>
  <sheetProtection algorithmName="SHA-512" hashValue="LRL3EAq+AvfHaZLX5CAvKgtMPwMfxYvdqWWkG0Y0j2AAMg5UJo7St2kr6tZtl5DS2Q7S55AaLfOy2KxVxKJsaA==" saltValue="GA+pZVLl1/2b4L+SsYOrK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0:L50"/>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5">
    <tabColor theme="2" tint="-0.249977111117893"/>
  </sheetPr>
  <dimension ref="B1: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1" spans="2:21">
      <c r="B1" s="1146"/>
      <c r="C1" s="1146"/>
      <c r="D1" s="1146"/>
      <c r="E1" s="1146"/>
      <c r="F1" s="1146"/>
      <c r="G1" s="1146"/>
      <c r="H1" s="1146"/>
      <c r="I1" s="1146"/>
      <c r="J1" s="1146"/>
      <c r="K1" s="1146"/>
      <c r="L1" s="1146"/>
    </row>
    <row r="2" spans="2:21" ht="20.399999999999999">
      <c r="B2" s="1870" t="s">
        <v>606</v>
      </c>
      <c r="C2" s="1870"/>
      <c r="D2" s="1870"/>
      <c r="E2" s="1870"/>
      <c r="F2" s="1870"/>
      <c r="G2" s="1870"/>
      <c r="H2" s="1870"/>
      <c r="I2" s="1870"/>
      <c r="J2" s="1870"/>
      <c r="K2" s="1870"/>
      <c r="L2" s="1870"/>
    </row>
    <row r="3" spans="2:21" ht="20.399999999999999">
      <c r="B3" s="1788" t="str">
        <f>"AND  "&amp;TEXT('KEY INPUTS'!D34+1,"0")&amp;"  DEBT  SERVICE  FOR  LOANS"</f>
        <v>AND  2020  DEBT  SERVICE  FOR  LOANS</v>
      </c>
      <c r="C3" s="1788"/>
      <c r="D3" s="1788"/>
      <c r="E3" s="1788"/>
      <c r="F3" s="1788"/>
      <c r="G3" s="1788"/>
      <c r="H3" s="1788"/>
      <c r="I3" s="1788"/>
      <c r="J3" s="1788"/>
      <c r="K3" s="1788"/>
      <c r="L3" s="1788"/>
    </row>
    <row r="4" spans="2:21" ht="15.6">
      <c r="B4" s="1761" t="str">
        <f>UPPER('KEY INPUTS'!D$55)&amp;"  UTILITY"&amp;" ________________ LOAN"</f>
        <v xml:space="preserve">  UTILITY ________________ LOAN</v>
      </c>
      <c r="C4" s="1761"/>
      <c r="D4" s="1761"/>
      <c r="E4" s="1761"/>
      <c r="F4" s="1761"/>
      <c r="G4" s="1761"/>
      <c r="H4" s="1761"/>
      <c r="I4" s="1761"/>
      <c r="J4" s="1761"/>
      <c r="K4" s="1761"/>
      <c r="L4" s="1761"/>
    </row>
    <row r="5" spans="2:21" ht="9.75" customHeight="1" thickBot="1">
      <c r="B5" s="1387"/>
      <c r="C5" s="1387"/>
      <c r="D5" s="1387"/>
      <c r="E5" s="1387"/>
      <c r="F5" s="1387"/>
      <c r="G5" s="1387"/>
      <c r="H5" s="1387"/>
      <c r="I5" s="1387"/>
      <c r="J5" s="1387"/>
      <c r="K5" s="1387"/>
      <c r="L5" s="1387"/>
    </row>
    <row r="6" spans="2:21" ht="27.75" customHeight="1" thickTop="1" thickBot="1">
      <c r="B6" s="1388"/>
      <c r="C6" s="1388"/>
      <c r="D6" s="1388"/>
      <c r="E6" s="1388"/>
      <c r="F6" s="1388"/>
      <c r="G6" s="1134" t="s">
        <v>125</v>
      </c>
      <c r="H6" s="1937" t="s">
        <v>126</v>
      </c>
      <c r="I6" s="1786"/>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58"/>
      <c r="D7" s="1158"/>
      <c r="E7" s="1158"/>
      <c r="F7" s="1158"/>
      <c r="G7" s="1088" t="s">
        <v>787</v>
      </c>
      <c r="H7" s="1705"/>
      <c r="I7" s="1706"/>
      <c r="K7" s="1146"/>
      <c r="L7" s="1146"/>
      <c r="O7" s="322"/>
      <c r="P7" s="322"/>
      <c r="Q7" s="322"/>
      <c r="R7" s="322"/>
      <c r="S7" s="322"/>
      <c r="T7" s="322"/>
      <c r="U7" s="322"/>
    </row>
    <row r="8" spans="2:21" ht="21" customHeight="1">
      <c r="B8" s="690" t="s">
        <v>113</v>
      </c>
      <c r="C8" s="1139"/>
      <c r="D8" s="1139"/>
      <c r="E8" s="1139"/>
      <c r="F8" s="1139"/>
      <c r="G8" s="973" t="s">
        <v>787</v>
      </c>
      <c r="H8" s="1679"/>
      <c r="I8" s="1680"/>
      <c r="K8" s="1146"/>
      <c r="L8" s="1146"/>
      <c r="O8" s="377"/>
      <c r="P8" s="322"/>
      <c r="Q8" s="322"/>
      <c r="R8" s="322"/>
      <c r="S8" s="322"/>
      <c r="T8" s="322"/>
      <c r="U8" s="322"/>
    </row>
    <row r="9" spans="2:21" ht="21" customHeight="1">
      <c r="B9" s="690"/>
      <c r="C9" s="1139"/>
      <c r="D9" s="1139"/>
      <c r="E9" s="1139"/>
      <c r="F9" s="1139"/>
      <c r="G9" s="973"/>
      <c r="H9" s="1389"/>
      <c r="I9" s="1390"/>
      <c r="K9" s="1146"/>
      <c r="L9" s="1146"/>
      <c r="O9" s="322"/>
      <c r="P9" s="322"/>
      <c r="Q9" s="322"/>
      <c r="R9" s="322"/>
      <c r="S9" s="322"/>
      <c r="T9" s="322"/>
      <c r="U9" s="322"/>
    </row>
    <row r="10" spans="2:21" ht="21" customHeight="1">
      <c r="B10" s="690" t="s">
        <v>326</v>
      </c>
      <c r="C10" s="1139"/>
      <c r="D10" s="1139"/>
      <c r="E10" s="1139"/>
      <c r="F10" s="1139"/>
      <c r="G10" s="601"/>
      <c r="H10" s="1685" t="s">
        <v>787</v>
      </c>
      <c r="I10" s="1686"/>
      <c r="K10" s="1146"/>
      <c r="L10" s="1146"/>
      <c r="O10" s="322"/>
      <c r="P10" s="322"/>
      <c r="Q10" s="322"/>
      <c r="R10" s="322"/>
      <c r="S10" s="322"/>
      <c r="T10" s="322"/>
      <c r="U10" s="322"/>
    </row>
    <row r="11" spans="2:21" ht="21" customHeight="1" thickBot="1">
      <c r="B11" s="690" t="str">
        <f>'KEY INPUTS'!D28</f>
        <v>Outstanding - December 31, 2019</v>
      </c>
      <c r="C11" s="1139"/>
      <c r="D11" s="1139"/>
      <c r="E11" s="1139"/>
      <c r="F11" s="1139"/>
      <c r="G11" s="1089">
        <f>+H7+H8-G10</f>
        <v>0</v>
      </c>
      <c r="H11" s="1677" t="s">
        <v>787</v>
      </c>
      <c r="I11" s="1678"/>
      <c r="K11" s="1146"/>
      <c r="L11" s="1146"/>
      <c r="O11" s="322"/>
      <c r="P11" s="322"/>
      <c r="Q11" s="322"/>
      <c r="R11" s="322"/>
      <c r="S11" s="322"/>
      <c r="T11" s="322"/>
      <c r="U11" s="322"/>
    </row>
    <row r="12" spans="2:21" ht="21" customHeight="1" thickBot="1">
      <c r="B12" s="1114"/>
      <c r="C12" s="1146"/>
      <c r="D12" s="1146"/>
      <c r="E12" s="1146"/>
      <c r="F12" s="1146"/>
      <c r="G12" s="1083">
        <f>SUM(G7:G11)</f>
        <v>0</v>
      </c>
      <c r="H12" s="1683">
        <f>SUM(H7:I11)</f>
        <v>0</v>
      </c>
      <c r="I12" s="1684"/>
      <c r="K12" s="1146"/>
      <c r="L12" s="1146"/>
      <c r="O12" s="322"/>
      <c r="P12" s="322"/>
      <c r="Q12" s="322"/>
      <c r="R12" s="322"/>
      <c r="S12" s="322"/>
      <c r="T12" s="322"/>
      <c r="U12" s="322"/>
    </row>
    <row r="13" spans="2:21" ht="21" customHeight="1" thickTop="1">
      <c r="B13" s="1382" t="str">
        <f>TEXT('KEY INPUTS'!D34+1,"0")&amp;" Loan Maturities"</f>
        <v>2020 Loan Maturities</v>
      </c>
      <c r="C13" s="1391"/>
      <c r="D13" s="1391"/>
      <c r="E13" s="1391"/>
      <c r="F13" s="1391"/>
      <c r="G13" s="1391"/>
      <c r="H13" s="1391"/>
      <c r="I13" s="1392"/>
      <c r="J13" s="479" t="s">
        <v>482</v>
      </c>
      <c r="K13" s="1714"/>
      <c r="L13" s="1714"/>
      <c r="O13" s="322"/>
      <c r="P13" s="322"/>
      <c r="Q13" s="322"/>
      <c r="R13" s="322"/>
      <c r="S13" s="322"/>
      <c r="T13" s="322"/>
      <c r="U13" s="322"/>
    </row>
    <row r="14" spans="2:21" ht="21" customHeight="1" thickBot="1">
      <c r="B14" s="1383" t="str">
        <f>TEXT('KEY INPUTS'!D34+1,"0")&amp;" Interest on Loans"</f>
        <v>2020 Interest on Loans</v>
      </c>
      <c r="C14" s="1162"/>
      <c r="D14" s="1162"/>
      <c r="E14" s="1162"/>
      <c r="F14" s="1162"/>
      <c r="G14" s="1375"/>
      <c r="H14" s="413" t="s">
        <v>482</v>
      </c>
      <c r="I14" s="674"/>
      <c r="K14" s="1146"/>
      <c r="L14" s="1146"/>
      <c r="O14" s="322"/>
      <c r="P14" s="322"/>
      <c r="Q14" s="322"/>
      <c r="R14" s="322"/>
      <c r="S14" s="322"/>
      <c r="T14" s="322"/>
      <c r="U14" s="322"/>
    </row>
    <row r="15" spans="2:21" ht="16.5" customHeight="1" thickTop="1">
      <c r="B15" s="1956"/>
      <c r="C15" s="1956"/>
      <c r="D15" s="1956"/>
      <c r="E15" s="1956"/>
      <c r="F15" s="1956"/>
      <c r="G15" s="1956"/>
      <c r="H15" s="1956"/>
      <c r="I15" s="1957"/>
      <c r="J15" s="1146"/>
      <c r="K15" s="1146"/>
      <c r="L15" s="1146"/>
      <c r="O15" s="322"/>
      <c r="P15" s="322"/>
      <c r="Q15" s="322"/>
      <c r="R15" s="322"/>
      <c r="S15" s="322"/>
      <c r="T15" s="322"/>
      <c r="U15" s="322"/>
    </row>
    <row r="16" spans="2:21" ht="26.25" customHeight="1" thickBot="1">
      <c r="B16" s="1935" t="str">
        <f>UPPER('KEY INPUTS'!D$55)&amp;"  UTILITY"&amp;" ________________ LOAN"</f>
        <v xml:space="preserve">  UTILITY ________________ LOAN</v>
      </c>
      <c r="C16" s="1935"/>
      <c r="D16" s="1935"/>
      <c r="E16" s="1935"/>
      <c r="F16" s="1935"/>
      <c r="G16" s="1935"/>
      <c r="H16" s="1935"/>
      <c r="I16" s="1936"/>
      <c r="J16" s="1146"/>
      <c r="K16" s="1146"/>
      <c r="L16" s="1146"/>
      <c r="O16" s="322"/>
      <c r="P16" s="322"/>
      <c r="Q16" s="322"/>
      <c r="R16" s="322"/>
      <c r="S16" s="322"/>
      <c r="T16" s="322"/>
      <c r="U16" s="322"/>
    </row>
    <row r="17" spans="2:21" ht="21" customHeight="1" thickTop="1">
      <c r="B17" s="1211" t="str">
        <f>'KEY INPUTS'!D27</f>
        <v>Outstanding - January 1, 2019</v>
      </c>
      <c r="C17" s="1158"/>
      <c r="D17" s="1158"/>
      <c r="E17" s="1158"/>
      <c r="F17" s="1158"/>
      <c r="G17" s="1088" t="s">
        <v>787</v>
      </c>
      <c r="H17" s="1705"/>
      <c r="I17" s="1706"/>
      <c r="J17" s="1146"/>
      <c r="K17" s="1146"/>
      <c r="L17" s="1146"/>
      <c r="O17" s="322"/>
      <c r="P17" s="322"/>
      <c r="Q17" s="322"/>
      <c r="R17" s="322"/>
      <c r="S17" s="322"/>
      <c r="T17" s="322"/>
      <c r="U17" s="322"/>
    </row>
    <row r="18" spans="2:21" ht="21" customHeight="1">
      <c r="B18" s="690" t="s">
        <v>113</v>
      </c>
      <c r="C18" s="1139"/>
      <c r="D18" s="1139"/>
      <c r="E18" s="1139"/>
      <c r="F18" s="1139"/>
      <c r="G18" s="973" t="s">
        <v>787</v>
      </c>
      <c r="H18" s="1679"/>
      <c r="I18" s="1680"/>
      <c r="J18" s="1146"/>
      <c r="K18" s="1146"/>
      <c r="L18" s="1146"/>
      <c r="O18" s="322"/>
      <c r="P18" s="322"/>
      <c r="Q18" s="322"/>
      <c r="R18" s="322"/>
      <c r="S18" s="322"/>
      <c r="T18" s="322"/>
      <c r="U18" s="322"/>
    </row>
    <row r="19" spans="2:21" ht="21" customHeight="1">
      <c r="B19" s="690" t="s">
        <v>326</v>
      </c>
      <c r="C19" s="1139"/>
      <c r="D19" s="1139"/>
      <c r="E19" s="1139"/>
      <c r="F19" s="1139"/>
      <c r="G19" s="601"/>
      <c r="H19" s="1685" t="s">
        <v>787</v>
      </c>
      <c r="I19" s="1686"/>
      <c r="J19" s="1146"/>
      <c r="K19" s="1146"/>
      <c r="L19" s="1146"/>
      <c r="O19" s="322"/>
      <c r="P19" s="322"/>
      <c r="Q19" s="322"/>
      <c r="R19" s="322"/>
      <c r="S19" s="322"/>
      <c r="T19" s="322"/>
      <c r="U19" s="322"/>
    </row>
    <row r="20" spans="2:21" ht="21" customHeight="1">
      <c r="B20" s="690"/>
      <c r="C20" s="1139"/>
      <c r="D20" s="1139"/>
      <c r="E20" s="1139"/>
      <c r="F20" s="1139"/>
      <c r="G20" s="1105"/>
      <c r="H20" s="1707"/>
      <c r="I20" s="1708"/>
      <c r="J20" s="1146"/>
      <c r="K20" s="1146"/>
      <c r="L20" s="1146"/>
      <c r="O20" s="322"/>
      <c r="P20" s="322"/>
      <c r="Q20" s="322"/>
      <c r="R20" s="322"/>
      <c r="S20" s="322"/>
      <c r="T20" s="322"/>
      <c r="U20" s="322"/>
    </row>
    <row r="21" spans="2:21" ht="21" customHeight="1">
      <c r="B21" s="690"/>
      <c r="C21" s="1139"/>
      <c r="D21" s="1139"/>
      <c r="E21" s="1139"/>
      <c r="F21" s="1139"/>
      <c r="G21" s="1105"/>
      <c r="H21" s="1707"/>
      <c r="I21" s="1708"/>
      <c r="J21" s="1146"/>
      <c r="K21" s="1146"/>
      <c r="L21" s="1146"/>
      <c r="O21" s="322"/>
      <c r="P21" s="322"/>
      <c r="Q21" s="322"/>
      <c r="R21" s="322"/>
      <c r="S21" s="322"/>
      <c r="T21" s="322"/>
      <c r="U21" s="322"/>
    </row>
    <row r="22" spans="2:21" ht="21" customHeight="1" thickBot="1">
      <c r="B22" s="690" t="str">
        <f>'KEY INPUTS'!D28</f>
        <v>Outstanding - December 31, 2019</v>
      </c>
      <c r="C22" s="1139"/>
      <c r="D22" s="1139"/>
      <c r="E22" s="1139"/>
      <c r="F22" s="1139"/>
      <c r="G22" s="1089">
        <f>+H17+H18-G19-G20-G21+H20+H21</f>
        <v>0</v>
      </c>
      <c r="H22" s="1677" t="s">
        <v>787</v>
      </c>
      <c r="I22" s="1678"/>
      <c r="J22" s="1146"/>
      <c r="K22" s="1146"/>
      <c r="L22" s="1146"/>
      <c r="O22" s="322"/>
      <c r="P22" s="322"/>
      <c r="Q22" s="322"/>
      <c r="R22" s="322"/>
      <c r="S22" s="322"/>
      <c r="T22" s="322"/>
      <c r="U22" s="322"/>
    </row>
    <row r="23" spans="2:21" ht="21" customHeight="1" thickBot="1">
      <c r="B23" s="1114"/>
      <c r="C23" s="1146"/>
      <c r="D23" s="1146"/>
      <c r="E23" s="1146"/>
      <c r="F23" s="1146"/>
      <c r="G23" s="1083">
        <f>SUM(G17:G22)</f>
        <v>0</v>
      </c>
      <c r="H23" s="1683">
        <f>SUM(H17:I22)</f>
        <v>0</v>
      </c>
      <c r="I23" s="1684"/>
      <c r="J23" s="1146"/>
      <c r="K23" s="1146"/>
      <c r="L23" s="1146"/>
    </row>
    <row r="24" spans="2:21" ht="21" customHeight="1" thickTop="1">
      <c r="B24" s="1382" t="str">
        <f>TEXT('KEY INPUTS'!D34+1,"0")&amp;" Loan Maturities"</f>
        <v>2020 Loan Maturities</v>
      </c>
      <c r="C24" s="1391"/>
      <c r="D24" s="1391"/>
      <c r="E24" s="1391"/>
      <c r="F24" s="1391"/>
      <c r="G24" s="1391"/>
      <c r="H24" s="1391"/>
      <c r="I24" s="1392"/>
      <c r="J24" s="479" t="s">
        <v>482</v>
      </c>
      <c r="K24" s="1714"/>
      <c r="L24" s="1714"/>
    </row>
    <row r="25" spans="2:21" ht="21" customHeight="1" thickBot="1">
      <c r="B25" s="1383" t="str">
        <f>TEXT('KEY INPUTS'!D34+1,"0")&amp;" Interest on Loans"</f>
        <v>2020 Interest on Loans</v>
      </c>
      <c r="C25" s="1162"/>
      <c r="D25" s="1162"/>
      <c r="E25" s="1162"/>
      <c r="F25" s="1162"/>
      <c r="G25" s="1375"/>
      <c r="H25" s="413" t="s">
        <v>482</v>
      </c>
      <c r="I25" s="608"/>
      <c r="J25" s="505"/>
      <c r="K25" s="1162"/>
      <c r="L25" s="1162"/>
    </row>
    <row r="26" spans="2:21" ht="21" customHeight="1" thickTop="1">
      <c r="B26" s="1146"/>
      <c r="C26" s="1146"/>
      <c r="D26" s="1146"/>
      <c r="E26" s="1146"/>
      <c r="F26" s="1146"/>
      <c r="G26" s="1146"/>
      <c r="H26" s="1146"/>
      <c r="I26" s="1146"/>
      <c r="J26" s="1146"/>
      <c r="K26" s="1146"/>
      <c r="L26" s="1146"/>
    </row>
    <row r="27" spans="2:21" ht="19.5" customHeight="1" thickBot="1">
      <c r="B27" s="1935" t="str">
        <f>"INTEREST  ON  LOANS  - "&amp;UPPER('KEY INPUTS'!D55)&amp;"  UTILITY  BUDGET"</f>
        <v>INTEREST  ON  LOANS  -   UTILITY  BUDGET</v>
      </c>
      <c r="C27" s="1935"/>
      <c r="D27" s="1935"/>
      <c r="E27" s="1935"/>
      <c r="F27" s="1935"/>
      <c r="G27" s="1935"/>
      <c r="H27" s="1935"/>
      <c r="I27" s="1935"/>
      <c r="J27" s="1935"/>
      <c r="K27" s="1935"/>
      <c r="L27" s="1935"/>
    </row>
    <row r="28" spans="2:21" ht="21" customHeight="1" thickTop="1">
      <c r="B28" s="1394" t="str">
        <f>TEXT('KEY INPUTS'!D34+1,"0")&amp;" Interest on Loans (*Items)"</f>
        <v>2020 Interest on Loans (*Items)</v>
      </c>
      <c r="C28" s="1170"/>
      <c r="D28" s="1158"/>
      <c r="E28" s="1158"/>
      <c r="F28" s="1158"/>
      <c r="G28" s="1158"/>
      <c r="H28" s="1158" t="s">
        <v>482</v>
      </c>
      <c r="I28" s="1393">
        <f>+I25+I14</f>
        <v>0</v>
      </c>
      <c r="J28" s="1146"/>
      <c r="K28" s="1146"/>
      <c r="L28" s="1146"/>
    </row>
    <row r="29" spans="2:21" ht="21" customHeight="1">
      <c r="B29" s="914" t="str">
        <f>"Less: Interest Accrued to "&amp;TEXT('KEY INPUTS'!D29,"mm/dd/yyy")&amp;" (Trial Balance)"</f>
        <v>Less: Interest Accrued to 12/31/2019 (Trial Balance)</v>
      </c>
      <c r="C29" s="690"/>
      <c r="D29" s="1139"/>
      <c r="E29" s="1139"/>
      <c r="F29" s="1139"/>
      <c r="G29" s="1139"/>
      <c r="H29" s="334" t="s">
        <v>482</v>
      </c>
      <c r="I29" s="600"/>
      <c r="J29" s="1146"/>
      <c r="K29" s="1146"/>
      <c r="L29" s="1146"/>
    </row>
    <row r="30" spans="2:21" ht="21" customHeight="1">
      <c r="B30" s="690"/>
      <c r="C30" s="690" t="s">
        <v>421</v>
      </c>
      <c r="D30" s="1139"/>
      <c r="E30" s="1139"/>
      <c r="F30" s="1139"/>
      <c r="G30" s="1139"/>
      <c r="H30" s="334" t="s">
        <v>482</v>
      </c>
      <c r="I30" s="1395">
        <f>+I28-I29</f>
        <v>0</v>
      </c>
      <c r="J30" s="1146"/>
      <c r="K30" s="1146"/>
      <c r="L30" s="1146"/>
    </row>
    <row r="31" spans="2:21" ht="21" customHeight="1">
      <c r="B31" s="914" t="str">
        <f>"Add: Interest to be Accrued as of "&amp;TEXT('KEY INPUTS'!D30,"mm/dd/yyyy")&amp;""</f>
        <v>Add: Interest to be Accrued as of 12/31/2020</v>
      </c>
      <c r="C31" s="690"/>
      <c r="D31" s="1139"/>
      <c r="E31" s="1139"/>
      <c r="F31" s="1139"/>
      <c r="G31" s="1139"/>
      <c r="H31" s="334" t="s">
        <v>482</v>
      </c>
      <c r="I31" s="600"/>
      <c r="J31" s="1146"/>
      <c r="K31" s="1146"/>
      <c r="L31" s="1146"/>
    </row>
    <row r="32" spans="2:21" ht="21" customHeight="1">
      <c r="B32" s="914" t="str">
        <f>"Required Appropriation "&amp;TEXT('KEY INPUTS'!D34+1,"0")</f>
        <v>Required Appropriation 2020</v>
      </c>
      <c r="C32" s="690"/>
      <c r="D32" s="1139"/>
      <c r="E32" s="1139"/>
      <c r="F32" s="1139"/>
      <c r="G32" s="1139"/>
      <c r="H32" s="1139"/>
      <c r="I32" s="1428"/>
      <c r="J32" s="506" t="s">
        <v>482</v>
      </c>
      <c r="K32" s="1939">
        <f>+I30+I31</f>
        <v>0</v>
      </c>
      <c r="L32" s="1940"/>
    </row>
    <row r="33" spans="2:12" ht="13.5" customHeight="1">
      <c r="B33" s="1262"/>
      <c r="C33" s="1262"/>
      <c r="D33" s="1262"/>
      <c r="E33" s="1262"/>
      <c r="F33" s="1262"/>
      <c r="G33" s="1262"/>
      <c r="H33" s="1262"/>
      <c r="I33" s="1262"/>
      <c r="J33" s="1262"/>
      <c r="K33" s="1429"/>
      <c r="L33" s="1270"/>
    </row>
    <row r="34" spans="2:12" ht="13.5" customHeight="1">
      <c r="B34" s="1262"/>
      <c r="C34" s="1262"/>
      <c r="D34" s="1262"/>
      <c r="E34" s="1262"/>
      <c r="F34" s="1262"/>
      <c r="G34" s="1262"/>
      <c r="H34" s="1262"/>
      <c r="I34" s="1262"/>
      <c r="J34" s="1262"/>
      <c r="K34" s="1429"/>
      <c r="L34" s="1270"/>
    </row>
    <row r="35" spans="2:12" ht="21" customHeight="1" thickBot="1">
      <c r="B35" s="1938" t="str">
        <f>"LIST  OF  LOANS  ISSUED  DURING  "&amp;TEXT('KEY INPUTS'!D34,"0")&amp;""</f>
        <v>LIST  OF  LOANS  ISSUED  DURING  2019</v>
      </c>
      <c r="C35" s="1938"/>
      <c r="D35" s="1938"/>
      <c r="E35" s="1938"/>
      <c r="F35" s="1938"/>
      <c r="G35" s="1938"/>
      <c r="H35" s="1938"/>
      <c r="I35" s="1938"/>
      <c r="J35" s="1938"/>
      <c r="K35" s="1938"/>
      <c r="L35" s="1938"/>
    </row>
    <row r="36" spans="2:12" ht="27" customHeight="1" thickTop="1" thickBot="1">
      <c r="B36" s="1785" t="s">
        <v>532</v>
      </c>
      <c r="C36" s="1785"/>
      <c r="D36" s="1785"/>
      <c r="E36" s="1785"/>
      <c r="F36" s="1785"/>
      <c r="G36" s="1397" t="str">
        <f>TEXT('KEY INPUTS'!D34,"0")&amp;" Maturity"</f>
        <v>2019 Maturity</v>
      </c>
      <c r="H36" s="1937" t="s">
        <v>109</v>
      </c>
      <c r="I36" s="1786"/>
      <c r="J36" s="1941" t="s">
        <v>107</v>
      </c>
      <c r="K36" s="1942"/>
      <c r="L36" s="1398"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162"/>
      <c r="C41" s="1162"/>
      <c r="D41" s="1162"/>
      <c r="E41" s="1162"/>
      <c r="F41" s="1163"/>
      <c r="G41" s="1083">
        <f>SUM(G37:G40)</f>
        <v>0</v>
      </c>
      <c r="H41" s="1703">
        <f>SUM(H37:I40)</f>
        <v>0</v>
      </c>
      <c r="I41" s="1704"/>
      <c r="J41" s="1396"/>
      <c r="K41" s="1162"/>
      <c r="L41" s="1156"/>
    </row>
    <row r="42" spans="2:12" ht="13.8" thickTop="1">
      <c r="G42" s="504"/>
      <c r="H42" s="504"/>
      <c r="I42" s="504"/>
    </row>
    <row r="51" spans="2:12" ht="13.8">
      <c r="B51" s="1812" t="s">
        <v>3445</v>
      </c>
      <c r="C51" s="1812"/>
      <c r="D51" s="1812"/>
      <c r="E51" s="1812"/>
      <c r="F51" s="1812"/>
      <c r="G51" s="1812"/>
      <c r="H51" s="1812"/>
      <c r="I51" s="1812"/>
      <c r="J51" s="1812"/>
      <c r="K51" s="1812"/>
      <c r="L51" s="1812"/>
    </row>
  </sheetData>
  <sheetProtection algorithmName="SHA-512" hashValue="G+Ua4LJ6Sm4GZa91bEeegeHYTcfsNXcryUD6hLbF5WQGYrkT/Zk6G1PKCNbQqEF9GWU7nd8hZKjYXM8w/vO5aw==" saltValue="5WtYOKwyJpRfqXJV9XuyX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6">
    <tabColor theme="2" tint="-0.249977111117893"/>
  </sheetPr>
  <dimension ref="B1: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1" spans="2:21">
      <c r="B1" s="1146"/>
      <c r="C1" s="1146"/>
      <c r="D1" s="1146"/>
      <c r="E1" s="1146"/>
      <c r="F1" s="1146"/>
      <c r="G1" s="1146"/>
      <c r="H1" s="1146"/>
      <c r="I1" s="1146"/>
      <c r="J1" s="1146"/>
      <c r="K1" s="1146"/>
      <c r="L1" s="1146"/>
    </row>
    <row r="2" spans="2:21" ht="20.399999999999999">
      <c r="B2" s="1870" t="s">
        <v>606</v>
      </c>
      <c r="C2" s="1870"/>
      <c r="D2" s="1870"/>
      <c r="E2" s="1870"/>
      <c r="F2" s="1870"/>
      <c r="G2" s="1870"/>
      <c r="H2" s="1870"/>
      <c r="I2" s="1870"/>
      <c r="J2" s="1870"/>
      <c r="K2" s="1870"/>
      <c r="L2" s="1870"/>
    </row>
    <row r="3" spans="2:21" ht="20.399999999999999">
      <c r="B3" s="1788" t="str">
        <f>"AND  "&amp;TEXT('KEY INPUTS'!D34+1,"0")&amp;"  DEBT  SERVICE  FOR  LOANS"</f>
        <v>AND  2020  DEBT  SERVICE  FOR  LOANS</v>
      </c>
      <c r="C3" s="1788"/>
      <c r="D3" s="1788"/>
      <c r="E3" s="1788"/>
      <c r="F3" s="1788"/>
      <c r="G3" s="1788"/>
      <c r="H3" s="1788"/>
      <c r="I3" s="1788"/>
      <c r="J3" s="1788"/>
      <c r="K3" s="1788"/>
      <c r="L3" s="1788"/>
    </row>
    <row r="4" spans="2:21" ht="15.6">
      <c r="B4" s="1761" t="str">
        <f>UPPER('KEY INPUTS'!D$55)&amp;"  UTILITY"&amp;" ________________ LOAN"</f>
        <v xml:space="preserve">  UTILITY ________________ LOAN</v>
      </c>
      <c r="C4" s="1761"/>
      <c r="D4" s="1761"/>
      <c r="E4" s="1761"/>
      <c r="F4" s="1761"/>
      <c r="G4" s="1761"/>
      <c r="H4" s="1761"/>
      <c r="I4" s="1761"/>
      <c r="J4" s="1761"/>
      <c r="K4" s="1761"/>
      <c r="L4" s="1761"/>
    </row>
    <row r="5" spans="2:21" ht="9.75" customHeight="1" thickBot="1">
      <c r="B5" s="1387"/>
      <c r="C5" s="1387"/>
      <c r="D5" s="1387"/>
      <c r="E5" s="1387"/>
      <c r="F5" s="1387"/>
      <c r="G5" s="1387"/>
      <c r="H5" s="1387"/>
      <c r="I5" s="1387"/>
      <c r="J5" s="1387"/>
      <c r="K5" s="1387"/>
      <c r="L5" s="1387"/>
    </row>
    <row r="6" spans="2:21" ht="27.75" customHeight="1" thickTop="1" thickBot="1">
      <c r="B6" s="1388"/>
      <c r="C6" s="1388"/>
      <c r="D6" s="1388"/>
      <c r="E6" s="1388"/>
      <c r="F6" s="1388"/>
      <c r="G6" s="1134" t="s">
        <v>125</v>
      </c>
      <c r="H6" s="1937" t="s">
        <v>126</v>
      </c>
      <c r="I6" s="1786"/>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58"/>
      <c r="D7" s="1158"/>
      <c r="E7" s="1158"/>
      <c r="F7" s="1158"/>
      <c r="G7" s="1088" t="s">
        <v>787</v>
      </c>
      <c r="H7" s="1705"/>
      <c r="I7" s="1706"/>
      <c r="J7" s="1146"/>
      <c r="K7" s="1146"/>
      <c r="L7" s="1146"/>
      <c r="O7" s="322"/>
      <c r="P7" s="322"/>
      <c r="Q7" s="322"/>
      <c r="R7" s="322"/>
      <c r="S7" s="322"/>
      <c r="T7" s="322"/>
      <c r="U7" s="322"/>
    </row>
    <row r="8" spans="2:21" ht="21" customHeight="1">
      <c r="B8" s="690" t="s">
        <v>113</v>
      </c>
      <c r="C8" s="1139"/>
      <c r="D8" s="1139"/>
      <c r="E8" s="1139"/>
      <c r="F8" s="1139"/>
      <c r="G8" s="973" t="s">
        <v>787</v>
      </c>
      <c r="H8" s="1679"/>
      <c r="I8" s="1680"/>
      <c r="J8" s="1146"/>
      <c r="K8" s="1146"/>
      <c r="L8" s="1146"/>
      <c r="O8" s="377"/>
      <c r="P8" s="322"/>
      <c r="Q8" s="322"/>
      <c r="R8" s="322"/>
      <c r="S8" s="322"/>
      <c r="T8" s="322"/>
      <c r="U8" s="322"/>
    </row>
    <row r="9" spans="2:21" ht="21" customHeight="1">
      <c r="B9" s="690"/>
      <c r="C9" s="1139"/>
      <c r="D9" s="1139"/>
      <c r="E9" s="1139"/>
      <c r="F9" s="1139"/>
      <c r="G9" s="973"/>
      <c r="H9" s="1389"/>
      <c r="I9" s="1390"/>
      <c r="J9" s="1146"/>
      <c r="K9" s="1146"/>
      <c r="L9" s="1146"/>
      <c r="O9" s="322"/>
      <c r="P9" s="322"/>
      <c r="Q9" s="322"/>
      <c r="R9" s="322"/>
      <c r="S9" s="322"/>
      <c r="T9" s="322"/>
      <c r="U9" s="322"/>
    </row>
    <row r="10" spans="2:21" ht="21" customHeight="1">
      <c r="B10" s="690" t="s">
        <v>326</v>
      </c>
      <c r="C10" s="1139"/>
      <c r="D10" s="1139"/>
      <c r="E10" s="1139"/>
      <c r="F10" s="1139"/>
      <c r="G10" s="601"/>
      <c r="H10" s="1685" t="s">
        <v>787</v>
      </c>
      <c r="I10" s="1686"/>
      <c r="J10" s="1146"/>
      <c r="K10" s="1146"/>
      <c r="L10" s="1146"/>
      <c r="O10" s="322"/>
      <c r="P10" s="322"/>
      <c r="Q10" s="322"/>
      <c r="R10" s="322"/>
      <c r="S10" s="322"/>
      <c r="T10" s="322"/>
      <c r="U10" s="322"/>
    </row>
    <row r="11" spans="2:21" ht="21" customHeight="1" thickBot="1">
      <c r="B11" s="690" t="str">
        <f>'KEY INPUTS'!D28</f>
        <v>Outstanding - December 31, 2019</v>
      </c>
      <c r="C11" s="1139"/>
      <c r="D11" s="1139"/>
      <c r="E11" s="1139"/>
      <c r="F11" s="1139"/>
      <c r="G11" s="1089">
        <f>+H7+H8-G10</f>
        <v>0</v>
      </c>
      <c r="H11" s="1677" t="s">
        <v>787</v>
      </c>
      <c r="I11" s="1678"/>
      <c r="J11" s="1146"/>
      <c r="K11" s="1146"/>
      <c r="L11" s="1146"/>
      <c r="O11" s="322"/>
      <c r="P11" s="322"/>
      <c r="Q11" s="322"/>
      <c r="R11" s="322"/>
      <c r="S11" s="322"/>
      <c r="T11" s="322"/>
      <c r="U11" s="322"/>
    </row>
    <row r="12" spans="2:21" ht="21" customHeight="1" thickBot="1">
      <c r="B12" s="1114"/>
      <c r="C12" s="1146"/>
      <c r="D12" s="1146"/>
      <c r="E12" s="1146"/>
      <c r="F12" s="1146"/>
      <c r="G12" s="1083">
        <f>SUM(G7:G11)</f>
        <v>0</v>
      </c>
      <c r="H12" s="1683">
        <f>SUM(H7:I11)</f>
        <v>0</v>
      </c>
      <c r="I12" s="1684"/>
      <c r="J12" s="1146"/>
      <c r="K12" s="1146"/>
      <c r="L12" s="1146"/>
      <c r="O12" s="322"/>
      <c r="P12" s="322"/>
      <c r="Q12" s="322"/>
      <c r="R12" s="322"/>
      <c r="S12" s="322"/>
      <c r="T12" s="322"/>
      <c r="U12" s="322"/>
    </row>
    <row r="13" spans="2:21" ht="21" customHeight="1" thickTop="1">
      <c r="B13" s="1382" t="str">
        <f>TEXT('KEY INPUTS'!D34+1,"0")&amp;" Loan Maturities"</f>
        <v>2020 Loan Maturities</v>
      </c>
      <c r="C13" s="1391"/>
      <c r="D13" s="1391"/>
      <c r="E13" s="1391"/>
      <c r="F13" s="1391"/>
      <c r="G13" s="1391"/>
      <c r="H13" s="1391"/>
      <c r="I13" s="1392"/>
      <c r="J13" s="479" t="s">
        <v>482</v>
      </c>
      <c r="K13" s="1714"/>
      <c r="L13" s="1714"/>
      <c r="O13" s="322"/>
      <c r="P13" s="322"/>
      <c r="Q13" s="322"/>
      <c r="R13" s="322"/>
      <c r="S13" s="322"/>
      <c r="T13" s="322"/>
      <c r="U13" s="322"/>
    </row>
    <row r="14" spans="2:21" ht="21" customHeight="1" thickBot="1">
      <c r="B14" s="1383" t="str">
        <f>TEXT('KEY INPUTS'!D34+1,"0")&amp;" Interest on Loans"</f>
        <v>2020 Interest on Loans</v>
      </c>
      <c r="C14" s="1162"/>
      <c r="D14" s="1162"/>
      <c r="E14" s="1162"/>
      <c r="F14" s="1162"/>
      <c r="G14" s="1375"/>
      <c r="H14" s="413" t="s">
        <v>482</v>
      </c>
      <c r="I14" s="674"/>
      <c r="K14" s="1146"/>
      <c r="L14" s="1146"/>
      <c r="O14" s="322"/>
      <c r="P14" s="322"/>
      <c r="Q14" s="322"/>
      <c r="R14" s="322"/>
      <c r="S14" s="322"/>
      <c r="T14" s="322"/>
      <c r="U14" s="322"/>
    </row>
    <row r="15" spans="2:21" ht="16.5" customHeight="1" thickTop="1">
      <c r="B15" s="1956"/>
      <c r="C15" s="1956"/>
      <c r="D15" s="1956"/>
      <c r="E15" s="1956"/>
      <c r="F15" s="1956"/>
      <c r="G15" s="1956"/>
      <c r="H15" s="1956"/>
      <c r="I15" s="1957"/>
      <c r="K15" s="1146"/>
      <c r="L15" s="1146"/>
      <c r="O15" s="322"/>
      <c r="P15" s="322"/>
      <c r="Q15" s="322"/>
      <c r="R15" s="322"/>
      <c r="S15" s="322"/>
      <c r="T15" s="322"/>
      <c r="U15" s="322"/>
    </row>
    <row r="16" spans="2:21" ht="26.25" customHeight="1" thickBot="1">
      <c r="B16" s="1935" t="str">
        <f>UPPER('KEY INPUTS'!D$55)&amp;"  UTILITY"&amp;" ________________ LOAN"</f>
        <v xml:space="preserve">  UTILITY ________________ LOAN</v>
      </c>
      <c r="C16" s="1935"/>
      <c r="D16" s="1935"/>
      <c r="E16" s="1935"/>
      <c r="F16" s="1935"/>
      <c r="G16" s="1935"/>
      <c r="H16" s="1935"/>
      <c r="I16" s="1936"/>
      <c r="K16" s="1146"/>
      <c r="L16" s="1146"/>
      <c r="O16" s="322"/>
      <c r="P16" s="322"/>
      <c r="Q16" s="322"/>
      <c r="R16" s="322"/>
      <c r="S16" s="322"/>
      <c r="T16" s="322"/>
      <c r="U16" s="322"/>
    </row>
    <row r="17" spans="2:21" ht="21" customHeight="1" thickTop="1">
      <c r="B17" s="1211" t="str">
        <f>'KEY INPUTS'!D27</f>
        <v>Outstanding - January 1, 2019</v>
      </c>
      <c r="C17" s="1158"/>
      <c r="D17" s="1158"/>
      <c r="E17" s="1158"/>
      <c r="F17" s="1158"/>
      <c r="G17" s="1088" t="s">
        <v>787</v>
      </c>
      <c r="H17" s="1705"/>
      <c r="I17" s="1706"/>
      <c r="K17" s="1146"/>
      <c r="L17" s="1146"/>
      <c r="O17" s="322"/>
      <c r="P17" s="322"/>
      <c r="Q17" s="322"/>
      <c r="R17" s="322"/>
      <c r="S17" s="322"/>
      <c r="T17" s="322"/>
      <c r="U17" s="322"/>
    </row>
    <row r="18" spans="2:21" ht="21" customHeight="1">
      <c r="B18" s="690" t="s">
        <v>113</v>
      </c>
      <c r="C18" s="1139"/>
      <c r="D18" s="1139"/>
      <c r="E18" s="1139"/>
      <c r="F18" s="1139"/>
      <c r="G18" s="973" t="s">
        <v>787</v>
      </c>
      <c r="H18" s="1679"/>
      <c r="I18" s="1680"/>
      <c r="K18" s="1146"/>
      <c r="L18" s="1146"/>
      <c r="O18" s="322"/>
      <c r="P18" s="322"/>
      <c r="Q18" s="322"/>
      <c r="R18" s="322"/>
      <c r="S18" s="322"/>
      <c r="T18" s="322"/>
      <c r="U18" s="322"/>
    </row>
    <row r="19" spans="2:21" ht="21" customHeight="1">
      <c r="B19" s="690" t="s">
        <v>326</v>
      </c>
      <c r="C19" s="1139"/>
      <c r="D19" s="1139"/>
      <c r="E19" s="1139"/>
      <c r="F19" s="1139"/>
      <c r="G19" s="601"/>
      <c r="H19" s="1685" t="s">
        <v>787</v>
      </c>
      <c r="I19" s="1686"/>
      <c r="K19" s="1146"/>
      <c r="L19" s="1146"/>
      <c r="O19" s="322"/>
      <c r="P19" s="322"/>
      <c r="Q19" s="322"/>
      <c r="R19" s="322"/>
      <c r="S19" s="322"/>
      <c r="T19" s="322"/>
      <c r="U19" s="322"/>
    </row>
    <row r="20" spans="2:21" ht="21" customHeight="1">
      <c r="B20" s="690"/>
      <c r="C20" s="1139"/>
      <c r="D20" s="1139"/>
      <c r="E20" s="1139"/>
      <c r="F20" s="1139"/>
      <c r="G20" s="1105"/>
      <c r="H20" s="1707"/>
      <c r="I20" s="1708"/>
      <c r="K20" s="1146"/>
      <c r="L20" s="1146"/>
      <c r="O20" s="322"/>
      <c r="P20" s="322"/>
      <c r="Q20" s="322"/>
      <c r="R20" s="322"/>
      <c r="S20" s="322"/>
      <c r="T20" s="322"/>
      <c r="U20" s="322"/>
    </row>
    <row r="21" spans="2:21" ht="21" customHeight="1">
      <c r="B21" s="690"/>
      <c r="C21" s="1139"/>
      <c r="D21" s="1139"/>
      <c r="E21" s="1139"/>
      <c r="F21" s="1139"/>
      <c r="G21" s="1105"/>
      <c r="H21" s="1707"/>
      <c r="I21" s="1708"/>
      <c r="K21" s="1146"/>
      <c r="L21" s="1146"/>
      <c r="O21" s="322"/>
      <c r="P21" s="322"/>
      <c r="Q21" s="322"/>
      <c r="R21" s="322"/>
      <c r="S21" s="322"/>
      <c r="T21" s="322"/>
      <c r="U21" s="322"/>
    </row>
    <row r="22" spans="2:21" ht="21" customHeight="1" thickBot="1">
      <c r="B22" s="690" t="str">
        <f>'KEY INPUTS'!D28</f>
        <v>Outstanding - December 31, 2019</v>
      </c>
      <c r="C22" s="1139"/>
      <c r="D22" s="1139"/>
      <c r="E22" s="1139"/>
      <c r="F22" s="1139"/>
      <c r="G22" s="1089">
        <f>+H17+H18-G19-G20-G21+H20+H21</f>
        <v>0</v>
      </c>
      <c r="H22" s="1677" t="s">
        <v>787</v>
      </c>
      <c r="I22" s="1678"/>
      <c r="K22" s="1146"/>
      <c r="L22" s="1146"/>
      <c r="O22" s="322"/>
      <c r="P22" s="322"/>
      <c r="Q22" s="322"/>
      <c r="R22" s="322"/>
      <c r="S22" s="322"/>
      <c r="T22" s="322"/>
      <c r="U22" s="322"/>
    </row>
    <row r="23" spans="2:21" ht="21" customHeight="1" thickBot="1">
      <c r="B23" s="1114"/>
      <c r="C23" s="1146"/>
      <c r="D23" s="1146"/>
      <c r="E23" s="1146"/>
      <c r="F23" s="1146"/>
      <c r="G23" s="1083">
        <f>SUM(G17:G22)</f>
        <v>0</v>
      </c>
      <c r="H23" s="1683">
        <f>SUM(H17:I22)</f>
        <v>0</v>
      </c>
      <c r="I23" s="1684"/>
      <c r="K23" s="1146"/>
      <c r="L23" s="1146"/>
    </row>
    <row r="24" spans="2:21" ht="21" customHeight="1" thickTop="1">
      <c r="B24" s="1382" t="str">
        <f>TEXT('KEY INPUTS'!D34+1,"0")&amp;" Loan Maturities"</f>
        <v>2020 Loan Maturities</v>
      </c>
      <c r="C24" s="1391"/>
      <c r="D24" s="1391"/>
      <c r="E24" s="1391"/>
      <c r="F24" s="1391"/>
      <c r="G24" s="1391"/>
      <c r="H24" s="1391"/>
      <c r="I24" s="1392"/>
      <c r="J24" s="479" t="s">
        <v>482</v>
      </c>
      <c r="K24" s="1714"/>
      <c r="L24" s="1714"/>
    </row>
    <row r="25" spans="2:21" ht="21" customHeight="1" thickBot="1">
      <c r="B25" s="1383" t="str">
        <f>TEXT('KEY INPUTS'!D34+1,"0")&amp;" Interest on Loans"</f>
        <v>2020 Interest on Loans</v>
      </c>
      <c r="C25" s="1162"/>
      <c r="D25" s="1162"/>
      <c r="E25" s="1162"/>
      <c r="F25" s="1162"/>
      <c r="G25" s="1375"/>
      <c r="H25" s="413" t="s">
        <v>482</v>
      </c>
      <c r="I25" s="608"/>
      <c r="J25" s="505"/>
      <c r="K25" s="1162"/>
      <c r="L25" s="1162"/>
    </row>
    <row r="26" spans="2:21" ht="21" customHeight="1" thickTop="1">
      <c r="B26" s="1146"/>
      <c r="C26" s="1146"/>
      <c r="D26" s="1146"/>
      <c r="E26" s="1146"/>
      <c r="F26" s="1146"/>
      <c r="G26" s="1146"/>
      <c r="H26" s="1146"/>
      <c r="I26" s="1146"/>
      <c r="J26" s="1146"/>
      <c r="K26" s="1146"/>
      <c r="L26" s="1146"/>
    </row>
    <row r="27" spans="2:21" ht="19.5" customHeight="1" thickBot="1">
      <c r="B27" s="1935" t="str">
        <f>"INTEREST  ON  LOANS  - "&amp;UPPER('KEY INPUTS'!D55)&amp;"  UTILITY  BUDGET"</f>
        <v>INTEREST  ON  LOANS  -   UTILITY  BUDGET</v>
      </c>
      <c r="C27" s="1935"/>
      <c r="D27" s="1935"/>
      <c r="E27" s="1935"/>
      <c r="F27" s="1935"/>
      <c r="G27" s="1935"/>
      <c r="H27" s="1935"/>
      <c r="I27" s="1935"/>
      <c r="J27" s="1935"/>
      <c r="K27" s="1935"/>
      <c r="L27" s="1935"/>
    </row>
    <row r="28" spans="2:21" ht="21" customHeight="1" thickTop="1">
      <c r="B28" s="1394" t="str">
        <f>TEXT('KEY INPUTS'!D34+1,"0")&amp;" Interest on Loans (*Items)"</f>
        <v>2020 Interest on Loans (*Items)</v>
      </c>
      <c r="C28" s="1170"/>
      <c r="D28" s="1158"/>
      <c r="E28" s="1158"/>
      <c r="F28" s="1158"/>
      <c r="G28" s="1158"/>
      <c r="H28" s="1158" t="s">
        <v>482</v>
      </c>
      <c r="I28" s="1393">
        <f>+I25+I14</f>
        <v>0</v>
      </c>
      <c r="J28" s="1146"/>
      <c r="K28" s="1146"/>
      <c r="L28" s="1146"/>
    </row>
    <row r="29" spans="2:21" ht="21" customHeight="1">
      <c r="B29" s="914" t="str">
        <f>"Less: Interest Accrued to "&amp;TEXT('KEY INPUTS'!D29,"mm/dd/yyy")&amp;" (Trial Balance)"</f>
        <v>Less: Interest Accrued to 12/31/2019 (Trial Balance)</v>
      </c>
      <c r="C29" s="690"/>
      <c r="D29" s="1139"/>
      <c r="E29" s="1139"/>
      <c r="F29" s="1139"/>
      <c r="G29" s="1139"/>
      <c r="H29" s="334" t="s">
        <v>482</v>
      </c>
      <c r="I29" s="600"/>
    </row>
    <row r="30" spans="2:21" ht="21" customHeight="1">
      <c r="B30" s="690"/>
      <c r="C30" s="690" t="s">
        <v>421</v>
      </c>
      <c r="D30" s="1139"/>
      <c r="E30" s="1139"/>
      <c r="F30" s="1139"/>
      <c r="G30" s="1139"/>
      <c r="H30" s="334" t="s">
        <v>482</v>
      </c>
      <c r="I30" s="512">
        <f>+I28-I29</f>
        <v>0</v>
      </c>
      <c r="J30" s="1146"/>
      <c r="K30" s="1146"/>
      <c r="L30" s="1146"/>
    </row>
    <row r="31" spans="2:21" ht="21" customHeight="1">
      <c r="B31" s="914" t="str">
        <f>"Add: Interest to be Accrued as of "&amp;TEXT('KEY INPUTS'!D30,"mm/dd/yyyy")&amp;""</f>
        <v>Add: Interest to be Accrued as of 12/31/2020</v>
      </c>
      <c r="C31" s="690"/>
      <c r="D31" s="1139"/>
      <c r="E31" s="1139"/>
      <c r="F31" s="1139"/>
      <c r="G31" s="1139"/>
      <c r="H31" s="334" t="s">
        <v>482</v>
      </c>
      <c r="I31" s="600"/>
      <c r="J31" s="1146"/>
      <c r="K31" s="1146"/>
      <c r="L31" s="1146"/>
    </row>
    <row r="32" spans="2:21" ht="21" customHeight="1">
      <c r="B32" s="914" t="str">
        <f>"Required Appropriation "&amp;TEXT('KEY INPUTS'!D34+1,"0")</f>
        <v>Required Appropriation 2020</v>
      </c>
      <c r="C32" s="690"/>
      <c r="D32" s="1139"/>
      <c r="E32" s="1139"/>
      <c r="F32" s="1139"/>
      <c r="G32" s="1139"/>
      <c r="H32" s="1139"/>
      <c r="I32" s="1165"/>
      <c r="J32" s="1430" t="s">
        <v>482</v>
      </c>
      <c r="K32" s="1939">
        <f>+I30+I31</f>
        <v>0</v>
      </c>
      <c r="L32" s="1940"/>
    </row>
    <row r="33" spans="2:12" ht="13.5" customHeight="1">
      <c r="B33" s="1262"/>
      <c r="C33" s="1262"/>
      <c r="D33" s="1262"/>
      <c r="E33" s="1262"/>
      <c r="F33" s="1262"/>
      <c r="G33" s="1262"/>
      <c r="H33" s="1262"/>
      <c r="I33" s="1262"/>
      <c r="J33" s="1262"/>
      <c r="K33" s="1429"/>
      <c r="L33" s="1270"/>
    </row>
    <row r="34" spans="2:12" ht="13.5" customHeight="1">
      <c r="B34" s="1262"/>
      <c r="C34" s="1262"/>
      <c r="D34" s="1262"/>
      <c r="E34" s="1262"/>
      <c r="F34" s="1262"/>
      <c r="G34" s="1262"/>
      <c r="H34" s="1262"/>
      <c r="I34" s="1262"/>
      <c r="J34" s="1262"/>
      <c r="K34" s="1429"/>
      <c r="L34" s="1270"/>
    </row>
    <row r="35" spans="2:12" ht="21" customHeight="1" thickBot="1">
      <c r="B35" s="1938" t="str">
        <f>"LIST  OF  LOANS  ISSUED  DURING  "&amp;TEXT('KEY INPUTS'!D34,"0")&amp;""</f>
        <v>LIST  OF  LOANS  ISSUED  DURING  2019</v>
      </c>
      <c r="C35" s="1938"/>
      <c r="D35" s="1938"/>
      <c r="E35" s="1938"/>
      <c r="F35" s="1938"/>
      <c r="G35" s="1938"/>
      <c r="H35" s="1938"/>
      <c r="I35" s="1938"/>
      <c r="J35" s="1938"/>
      <c r="K35" s="1938"/>
      <c r="L35" s="1938"/>
    </row>
    <row r="36" spans="2:12" ht="27" customHeight="1" thickTop="1" thickBot="1">
      <c r="B36" s="1785" t="s">
        <v>532</v>
      </c>
      <c r="C36" s="1785"/>
      <c r="D36" s="1785"/>
      <c r="E36" s="1785"/>
      <c r="F36" s="1785"/>
      <c r="G36" s="1397" t="str">
        <f>TEXT('KEY INPUTS'!D34,"0")&amp;" Maturity"</f>
        <v>2019 Maturity</v>
      </c>
      <c r="H36" s="1937" t="s">
        <v>109</v>
      </c>
      <c r="I36" s="1786"/>
      <c r="J36" s="1941" t="s">
        <v>107</v>
      </c>
      <c r="K36" s="1942"/>
      <c r="L36" s="1398"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162"/>
      <c r="C41" s="1162"/>
      <c r="D41" s="1162"/>
      <c r="E41" s="1162"/>
      <c r="F41" s="1163"/>
      <c r="G41" s="1083">
        <f>SUM(G37:G40)</f>
        <v>0</v>
      </c>
      <c r="H41" s="1703">
        <f>SUM(H37:I40)</f>
        <v>0</v>
      </c>
      <c r="I41" s="1704"/>
      <c r="J41" s="1396"/>
      <c r="K41" s="1162"/>
      <c r="L41" s="1156"/>
    </row>
    <row r="42" spans="2:12" ht="13.8" thickTop="1">
      <c r="G42" s="504"/>
      <c r="H42" s="504"/>
      <c r="I42" s="504"/>
    </row>
    <row r="51" spans="2:12" ht="13.8">
      <c r="B51" s="1812" t="s">
        <v>3650</v>
      </c>
      <c r="C51" s="1812"/>
      <c r="D51" s="1812"/>
      <c r="E51" s="1812"/>
      <c r="F51" s="1812"/>
      <c r="G51" s="1812"/>
      <c r="H51" s="1812"/>
      <c r="I51" s="1812"/>
      <c r="J51" s="1812"/>
      <c r="K51" s="1812"/>
      <c r="L51" s="1812"/>
    </row>
  </sheetData>
  <sheetProtection algorithmName="SHA-512" hashValue="6QDg+fAOxVqZYGwpRK4annxT3jkk/lxCLx+xpj7pHHLd11wQ/ouXibLoH1Wrjg5oFC9e5TjNgLOa5HBtOGe4bw==" saltValue="pD55lE3VByCP8AObADiAg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7">
    <tabColor theme="2" tint="-0.249977111117893"/>
  </sheetPr>
  <dimension ref="A1:V30"/>
  <sheetViews>
    <sheetView zoomScaleNormal="100" zoomScaleSheetLayoutView="80" workbookViewId="0">
      <selection activeCell="M26" sqref="M26"/>
    </sheetView>
  </sheetViews>
  <sheetFormatPr defaultColWidth="8.88671875" defaultRowHeight="13.2"/>
  <cols>
    <col min="1" max="1" width="5.6640625" style="398" customWidth="1"/>
    <col min="2" max="3" width="4.88671875" style="398" customWidth="1"/>
    <col min="4" max="4" width="30.44140625" style="398" customWidth="1"/>
    <col min="5" max="11" width="15.6640625" style="398" customWidth="1"/>
    <col min="12" max="12" width="1.6640625" style="398" customWidth="1"/>
    <col min="13" max="13" width="12.6640625" style="398" customWidth="1"/>
    <col min="14" max="16384" width="8.88671875" style="398"/>
  </cols>
  <sheetData>
    <row r="1" spans="1:22">
      <c r="B1" s="1114"/>
      <c r="C1" s="1114"/>
      <c r="D1" s="1114"/>
      <c r="E1" s="1114"/>
      <c r="F1" s="1114"/>
      <c r="G1" s="1114"/>
      <c r="H1" s="1114"/>
      <c r="I1" s="1114"/>
      <c r="J1" s="1114"/>
      <c r="K1" s="1114"/>
      <c r="L1" s="1114"/>
      <c r="M1" s="1114"/>
    </row>
    <row r="2" spans="1:22" ht="20.399999999999999">
      <c r="B2" s="1788" t="str">
        <f>"DEBT  SERVICE  FOR  "&amp;UPPER('KEY INPUTS'!D55)&amp;"  UTILITY  NOTES  (OTHER  THAN  UTILITY  ASSESSMENT  NOTES)"</f>
        <v>DEBT  SERVICE  FOR    UTILITY  NOTES  (OTHER  THAN  UTILITY  ASSESSMENT  NOTES)</v>
      </c>
      <c r="C2" s="1788"/>
      <c r="D2" s="1788"/>
      <c r="E2" s="1788"/>
      <c r="F2" s="1788"/>
      <c r="G2" s="1788"/>
      <c r="H2" s="1788"/>
      <c r="I2" s="1788"/>
      <c r="J2" s="1788"/>
      <c r="K2" s="1788"/>
      <c r="L2" s="1788"/>
      <c r="M2" s="1788"/>
    </row>
    <row r="3" spans="1:22" ht="21" thickBot="1">
      <c r="B3" s="1788"/>
      <c r="C3" s="1788"/>
      <c r="D3" s="1788"/>
      <c r="E3" s="1788"/>
      <c r="F3" s="1788"/>
      <c r="G3" s="1788"/>
      <c r="H3" s="1788"/>
      <c r="I3" s="1788"/>
      <c r="J3" s="1788"/>
      <c r="K3" s="1788"/>
      <c r="L3" s="1788"/>
      <c r="M3" s="1788"/>
    </row>
    <row r="4" spans="1:22" ht="13.5" customHeight="1" thickTop="1">
      <c r="B4" s="1237"/>
      <c r="C4" s="1237"/>
      <c r="D4" s="1237"/>
      <c r="E4" s="1238"/>
      <c r="F4" s="1238"/>
      <c r="G4" s="1238"/>
      <c r="H4" s="1238"/>
      <c r="I4" s="1238"/>
      <c r="J4" s="1237"/>
      <c r="K4" s="1239"/>
      <c r="L4" s="1237"/>
      <c r="M4" s="1240"/>
    </row>
    <row r="5" spans="1:22" ht="13.5" customHeight="1">
      <c r="B5" s="1114"/>
      <c r="C5" s="1114"/>
      <c r="D5" s="1114"/>
      <c r="E5" s="1241" t="s">
        <v>176</v>
      </c>
      <c r="F5" s="1242" t="s">
        <v>176</v>
      </c>
      <c r="G5" s="1242" t="s">
        <v>533</v>
      </c>
      <c r="H5" s="1242" t="s">
        <v>18</v>
      </c>
      <c r="I5" s="1242" t="s">
        <v>684</v>
      </c>
      <c r="J5" s="1866">
        <f>'KEY INPUTS'!D33</f>
        <v>2020</v>
      </c>
      <c r="K5" s="1867"/>
      <c r="L5" s="1269"/>
      <c r="M5" s="1244" t="s">
        <v>685</v>
      </c>
    </row>
    <row r="6" spans="1:22" ht="13.5" customHeight="1">
      <c r="B6" s="1114"/>
      <c r="C6" s="1864" t="s">
        <v>175</v>
      </c>
      <c r="D6" s="1865"/>
      <c r="E6" s="1241" t="s">
        <v>533</v>
      </c>
      <c r="F6" s="1242" t="s">
        <v>177</v>
      </c>
      <c r="G6" s="1242" t="s">
        <v>681</v>
      </c>
      <c r="H6" s="1242" t="s">
        <v>682</v>
      </c>
      <c r="I6" s="1242" t="s">
        <v>682</v>
      </c>
      <c r="J6" s="1868"/>
      <c r="K6" s="1869"/>
      <c r="L6" s="1245"/>
      <c r="M6" s="1244" t="s">
        <v>688</v>
      </c>
    </row>
    <row r="7" spans="1:22" ht="13.5" customHeight="1">
      <c r="B7" s="1114"/>
      <c r="C7" s="1114"/>
      <c r="D7" s="1114"/>
      <c r="E7" s="1241" t="s">
        <v>113</v>
      </c>
      <c r="F7" s="1241" t="s">
        <v>178</v>
      </c>
      <c r="G7" s="1241" t="s">
        <v>257</v>
      </c>
      <c r="H7" s="1241" t="s">
        <v>683</v>
      </c>
      <c r="I7" s="1241" t="s">
        <v>685</v>
      </c>
      <c r="J7" s="1241" t="s">
        <v>142</v>
      </c>
      <c r="K7" s="1241" t="s">
        <v>686</v>
      </c>
      <c r="L7" s="1242"/>
      <c r="M7" s="1244" t="s">
        <v>689</v>
      </c>
    </row>
    <row r="8" spans="1:22" ht="13.5" customHeight="1" thickBot="1">
      <c r="B8" s="1169"/>
      <c r="C8" s="1169"/>
      <c r="D8" s="1169"/>
      <c r="E8" s="1246"/>
      <c r="F8" s="1246"/>
      <c r="G8" s="1247" t="str">
        <f>'KEY INPUTS'!D46</f>
        <v>Dec. 31, 2019</v>
      </c>
      <c r="H8" s="1246"/>
      <c r="I8" s="1246"/>
      <c r="J8" s="1248"/>
      <c r="K8" s="1249"/>
      <c r="L8" s="1250"/>
      <c r="M8" s="1251"/>
      <c r="P8" s="322"/>
      <c r="Q8" s="322"/>
      <c r="R8" s="322"/>
      <c r="S8" s="322"/>
      <c r="T8" s="322"/>
      <c r="U8" s="322"/>
      <c r="V8" s="322"/>
    </row>
    <row r="9" spans="1:22" ht="21" customHeight="1" thickTop="1">
      <c r="B9" s="537" t="s">
        <v>384</v>
      </c>
      <c r="C9" s="675"/>
      <c r="D9" s="676"/>
      <c r="E9" s="618"/>
      <c r="F9" s="677"/>
      <c r="G9" s="618"/>
      <c r="H9" s="678"/>
      <c r="I9" s="620"/>
      <c r="J9" s="618"/>
      <c r="K9" s="618"/>
      <c r="L9" s="629"/>
      <c r="M9" s="679"/>
      <c r="P9" s="322"/>
      <c r="Q9" s="322"/>
      <c r="R9" s="322"/>
      <c r="S9" s="322"/>
      <c r="T9" s="322"/>
      <c r="U9" s="322"/>
      <c r="V9" s="322"/>
    </row>
    <row r="10" spans="1:22" ht="21" customHeight="1">
      <c r="B10" s="536" t="s">
        <v>385</v>
      </c>
      <c r="C10" s="680"/>
      <c r="D10" s="652"/>
      <c r="E10" s="601"/>
      <c r="F10" s="681"/>
      <c r="G10" s="601"/>
      <c r="H10" s="601"/>
      <c r="I10" s="682"/>
      <c r="J10" s="683"/>
      <c r="K10" s="601"/>
      <c r="L10" s="631"/>
      <c r="M10" s="684"/>
      <c r="N10" s="398" t="s">
        <v>3406</v>
      </c>
      <c r="O10" s="398" t="s">
        <v>3406</v>
      </c>
      <c r="P10" s="377"/>
      <c r="Q10" s="322"/>
      <c r="R10" s="322"/>
      <c r="S10" s="322"/>
      <c r="T10" s="322"/>
      <c r="U10" s="322"/>
      <c r="V10" s="322"/>
    </row>
    <row r="11" spans="1:22" ht="21" customHeight="1">
      <c r="B11" s="536" t="s">
        <v>386</v>
      </c>
      <c r="C11" s="648"/>
      <c r="D11" s="652"/>
      <c r="E11" s="601"/>
      <c r="F11" s="685"/>
      <c r="G11" s="601"/>
      <c r="H11" s="601"/>
      <c r="I11" s="623"/>
      <c r="J11" s="601"/>
      <c r="K11" s="601"/>
      <c r="L11" s="631"/>
      <c r="M11" s="684"/>
      <c r="P11" s="322"/>
      <c r="Q11" s="322"/>
      <c r="R11" s="322"/>
      <c r="S11" s="322"/>
      <c r="T11" s="322"/>
      <c r="U11" s="322"/>
      <c r="V11" s="322"/>
    </row>
    <row r="12" spans="1:22" ht="21" customHeight="1">
      <c r="B12" s="536" t="s">
        <v>387</v>
      </c>
      <c r="C12" s="648"/>
      <c r="D12" s="652"/>
      <c r="E12" s="601"/>
      <c r="F12" s="685"/>
      <c r="G12" s="601"/>
      <c r="H12" s="601"/>
      <c r="I12" s="623"/>
      <c r="J12" s="601"/>
      <c r="K12" s="601"/>
      <c r="L12" s="631"/>
      <c r="M12" s="684"/>
      <c r="P12" s="322"/>
      <c r="Q12" s="322"/>
      <c r="R12" s="322"/>
      <c r="S12" s="322"/>
      <c r="T12" s="322"/>
      <c r="U12" s="322"/>
      <c r="V12" s="322"/>
    </row>
    <row r="13" spans="1:22" ht="21" customHeight="1">
      <c r="B13" s="536" t="s">
        <v>388</v>
      </c>
      <c r="C13" s="648"/>
      <c r="D13" s="652"/>
      <c r="E13" s="601"/>
      <c r="F13" s="685"/>
      <c r="G13" s="601"/>
      <c r="H13" s="601"/>
      <c r="I13" s="623"/>
      <c r="J13" s="601"/>
      <c r="K13" s="601"/>
      <c r="L13" s="631"/>
      <c r="M13" s="684"/>
      <c r="P13" s="322"/>
      <c r="Q13" s="322"/>
      <c r="R13" s="322"/>
      <c r="S13" s="322"/>
      <c r="T13" s="322"/>
      <c r="U13" s="322"/>
      <c r="V13" s="322"/>
    </row>
    <row r="14" spans="1:22" ht="21" customHeight="1">
      <c r="B14" s="536" t="s">
        <v>389</v>
      </c>
      <c r="C14" s="648"/>
      <c r="D14" s="652"/>
      <c r="E14" s="604"/>
      <c r="F14" s="686"/>
      <c r="G14" s="604"/>
      <c r="H14" s="604"/>
      <c r="I14" s="626"/>
      <c r="J14" s="601"/>
      <c r="K14" s="601"/>
      <c r="L14" s="631"/>
      <c r="M14" s="684"/>
      <c r="P14" s="322"/>
      <c r="Q14" s="322"/>
      <c r="R14" s="322"/>
      <c r="S14" s="322"/>
      <c r="T14" s="322"/>
      <c r="U14" s="322"/>
      <c r="V14" s="322"/>
    </row>
    <row r="15" spans="1:22" ht="21" customHeight="1">
      <c r="A15" s="1863" t="s">
        <v>3446</v>
      </c>
      <c r="B15" s="536" t="s">
        <v>390</v>
      </c>
      <c r="C15" s="687"/>
      <c r="D15" s="688"/>
      <c r="E15" s="601"/>
      <c r="F15" s="685"/>
      <c r="G15" s="601"/>
      <c r="H15" s="601"/>
      <c r="I15" s="623"/>
      <c r="J15" s="601"/>
      <c r="K15" s="601"/>
      <c r="L15" s="631"/>
      <c r="M15" s="684"/>
      <c r="P15" s="322"/>
      <c r="Q15" s="322"/>
      <c r="R15" s="322"/>
      <c r="S15" s="322"/>
      <c r="T15" s="322"/>
      <c r="U15" s="322"/>
      <c r="V15" s="322"/>
    </row>
    <row r="16" spans="1:22" ht="21" customHeight="1">
      <c r="A16" s="1863"/>
      <c r="B16" s="536" t="s">
        <v>501</v>
      </c>
      <c r="C16" s="648"/>
      <c r="D16" s="652"/>
      <c r="E16" s="601"/>
      <c r="F16" s="685"/>
      <c r="G16" s="601"/>
      <c r="H16" s="601"/>
      <c r="I16" s="623"/>
      <c r="J16" s="601"/>
      <c r="K16" s="601"/>
      <c r="L16" s="631"/>
      <c r="M16" s="684"/>
      <c r="P16" s="322"/>
      <c r="Q16" s="322"/>
      <c r="R16" s="322"/>
      <c r="S16" s="322"/>
      <c r="T16" s="322"/>
      <c r="U16" s="322"/>
      <c r="V16" s="322"/>
    </row>
    <row r="17" spans="1:22" ht="21" customHeight="1">
      <c r="A17" s="1863"/>
      <c r="B17" s="536" t="s">
        <v>502</v>
      </c>
      <c r="C17" s="648"/>
      <c r="D17" s="652"/>
      <c r="E17" s="601"/>
      <c r="F17" s="685"/>
      <c r="G17" s="601"/>
      <c r="H17" s="601"/>
      <c r="I17" s="623"/>
      <c r="J17" s="601"/>
      <c r="K17" s="601"/>
      <c r="L17" s="631"/>
      <c r="M17" s="684"/>
      <c r="P17" s="322"/>
      <c r="Q17" s="322"/>
      <c r="R17" s="322"/>
      <c r="S17" s="322"/>
      <c r="T17" s="322"/>
      <c r="U17" s="322"/>
      <c r="V17" s="322"/>
    </row>
    <row r="18" spans="1:22" ht="21" customHeight="1">
      <c r="A18" s="535"/>
      <c r="B18" s="696" t="s">
        <v>987</v>
      </c>
      <c r="C18" s="690"/>
      <c r="D18" s="691"/>
      <c r="E18" s="689">
        <f>SUM(E9:E17)</f>
        <v>0</v>
      </c>
      <c r="F18" s="692"/>
      <c r="G18" s="689">
        <f>SUM(G9:G17)</f>
        <v>0</v>
      </c>
      <c r="H18" s="689"/>
      <c r="I18" s="693"/>
      <c r="J18" s="689">
        <f>SUM(J9:J17)</f>
        <v>0</v>
      </c>
      <c r="K18" s="689">
        <f>SUM(K9:K17)</f>
        <v>0</v>
      </c>
      <c r="L18" s="694"/>
      <c r="M18" s="695"/>
      <c r="P18" s="322"/>
      <c r="Q18" s="322"/>
      <c r="R18" s="322"/>
      <c r="S18" s="322"/>
      <c r="T18" s="322"/>
      <c r="U18" s="322"/>
      <c r="V18" s="322"/>
    </row>
    <row r="19" spans="1:22" ht="21" customHeight="1">
      <c r="A19" s="535"/>
      <c r="B19" s="1352"/>
      <c r="C19" s="1192"/>
      <c r="D19" s="1192"/>
      <c r="E19" s="1353"/>
      <c r="F19" s="1192"/>
      <c r="G19" s="1353"/>
      <c r="H19" s="1353"/>
      <c r="I19" s="1354"/>
      <c r="J19" s="1353"/>
      <c r="K19" s="1353"/>
      <c r="L19" s="1353"/>
      <c r="M19" s="1192"/>
      <c r="P19" s="322"/>
      <c r="Q19" s="322"/>
      <c r="R19" s="322"/>
      <c r="S19" s="322"/>
      <c r="T19" s="322"/>
      <c r="U19" s="322"/>
      <c r="V19" s="322"/>
    </row>
    <row r="20" spans="1:22" ht="21" customHeight="1">
      <c r="A20" s="535"/>
      <c r="B20" s="1352"/>
      <c r="C20" s="1192"/>
      <c r="D20" s="1192"/>
      <c r="E20" s="1353"/>
      <c r="F20" s="1192"/>
      <c r="G20" s="1353"/>
      <c r="H20" s="1353"/>
      <c r="I20" s="1354"/>
      <c r="J20" s="1353"/>
      <c r="K20" s="1353"/>
      <c r="L20" s="1353"/>
      <c r="M20" s="1192"/>
      <c r="P20" s="322"/>
      <c r="Q20" s="322"/>
      <c r="R20" s="322"/>
      <c r="S20" s="322"/>
      <c r="T20" s="322"/>
      <c r="U20" s="322"/>
      <c r="V20" s="322"/>
    </row>
    <row r="21" spans="1:22" ht="13.5" customHeight="1" thickBot="1">
      <c r="B21" s="1355"/>
      <c r="C21" s="1356"/>
      <c r="D21" s="1357"/>
      <c r="E21" s="1192"/>
      <c r="F21" s="1192"/>
      <c r="G21" s="1192"/>
      <c r="H21" s="1192"/>
      <c r="I21" s="1192"/>
      <c r="J21" s="1358"/>
      <c r="K21" s="1192"/>
      <c r="L21" s="1192"/>
      <c r="M21" s="1192"/>
      <c r="P21" s="322"/>
      <c r="Q21" s="322"/>
      <c r="R21" s="322"/>
      <c r="S21" s="322"/>
      <c r="T21" s="322"/>
      <c r="U21" s="322"/>
      <c r="V21" s="322"/>
    </row>
    <row r="22" spans="1:22" ht="14.4" thickTop="1" thickBot="1">
      <c r="B22" s="1220" t="s">
        <v>44</v>
      </c>
      <c r="C22" s="1119"/>
      <c r="D22" s="1359"/>
      <c r="E22" s="1119"/>
      <c r="F22" s="1114"/>
      <c r="G22" s="1114"/>
      <c r="H22" s="1114"/>
      <c r="I22" s="1860" t="str">
        <f>"INTEREST  ON  NOTES  -  "&amp;UPPER('KEY INPUTS'!D55)&amp;" UTILITY  BUDGET"</f>
        <v>INTEREST  ON  NOTES  -   UTILITY  BUDGET</v>
      </c>
      <c r="J22" s="1861"/>
      <c r="K22" s="1861"/>
      <c r="L22" s="1861"/>
      <c r="M22" s="1862"/>
      <c r="P22" s="322"/>
      <c r="Q22" s="322"/>
      <c r="R22" s="322"/>
      <c r="S22" s="322"/>
      <c r="T22" s="322"/>
      <c r="U22" s="322"/>
      <c r="V22" s="322"/>
    </row>
    <row r="23" spans="1:22" ht="15.6" customHeight="1">
      <c r="B23" s="1360" t="s">
        <v>45</v>
      </c>
      <c r="C23" s="1360"/>
      <c r="D23" s="1220" t="s">
        <v>46</v>
      </c>
      <c r="E23" s="1119"/>
      <c r="F23" s="1114"/>
      <c r="G23" s="1114"/>
      <c r="H23" s="1114"/>
      <c r="I23" s="1361" t="str">
        <f>TEXT('KEY INPUTS'!D34+1,"0")&amp;"  Interest on Notes"</f>
        <v>2020  Interest on Notes</v>
      </c>
      <c r="J23" s="1191"/>
      <c r="K23" s="1191"/>
      <c r="L23" s="1362" t="s">
        <v>482</v>
      </c>
      <c r="M23" s="1234">
        <f>K18</f>
        <v>0</v>
      </c>
      <c r="P23" s="322"/>
      <c r="Q23" s="322"/>
      <c r="R23" s="322"/>
      <c r="S23" s="322"/>
      <c r="T23" s="322"/>
      <c r="U23" s="322"/>
      <c r="V23" s="322"/>
    </row>
    <row r="24" spans="1:22" ht="15.6" customHeight="1">
      <c r="B24" s="1220"/>
      <c r="C24" s="1220"/>
      <c r="D24" s="1360" t="s">
        <v>47</v>
      </c>
      <c r="E24" s="1119"/>
      <c r="F24" s="1114"/>
      <c r="G24" s="1114"/>
      <c r="H24" s="1114"/>
      <c r="I24" s="1415" t="str">
        <f>"Less: Interest Accrued to "&amp;TEXT('KEY INPUTS'!D29,"mm/dd/yyyy")&amp;" (Trial Balance)"</f>
        <v>Less: Interest Accrued to 12/31/2019 (Trial Balance)</v>
      </c>
      <c r="J24" s="690"/>
      <c r="K24" s="690"/>
      <c r="L24" s="524" t="s">
        <v>482</v>
      </c>
      <c r="M24" s="672"/>
      <c r="P24" s="322"/>
      <c r="Q24" s="322"/>
      <c r="R24" s="322"/>
      <c r="S24" s="322"/>
      <c r="T24" s="322"/>
      <c r="U24" s="322"/>
      <c r="V24" s="322"/>
    </row>
    <row r="25" spans="1:22" ht="15.6" customHeight="1">
      <c r="B25" s="1220"/>
      <c r="C25" s="1220"/>
      <c r="D25" s="1220" t="s">
        <v>48</v>
      </c>
      <c r="E25" s="1119"/>
      <c r="F25" s="1114"/>
      <c r="G25" s="1114"/>
      <c r="H25" s="1114"/>
      <c r="I25" s="1121"/>
      <c r="J25" s="690" t="s">
        <v>421</v>
      </c>
      <c r="K25" s="690"/>
      <c r="L25" s="524" t="s">
        <v>482</v>
      </c>
      <c r="M25" s="1235">
        <f>+M23-M24</f>
        <v>0</v>
      </c>
    </row>
    <row r="26" spans="1:22" ht="15.6" customHeight="1">
      <c r="B26" s="1220"/>
      <c r="C26" s="1220"/>
      <c r="D26" s="1220" t="str">
        <f>"All notes with an original date of issue of 2016"&amp;" or prior require one legally payable installment to be budgeted if it"</f>
        <v>All notes with an original date of issue of 2016 or prior require one legally payable installment to be budgeted if it</v>
      </c>
      <c r="E26" s="1119"/>
      <c r="F26" s="1114"/>
      <c r="G26" s="1114"/>
      <c r="H26" s="1114"/>
      <c r="I26" s="1415" t="str">
        <f>"Add: Interest to be Accrued as of "&amp;TEXT('KEY INPUTS'!D29,"mm/dd/yyyy")&amp;""</f>
        <v>Add: Interest to be Accrued as of 12/31/2019</v>
      </c>
      <c r="J26" s="690"/>
      <c r="K26" s="690"/>
      <c r="L26" s="524" t="s">
        <v>482</v>
      </c>
      <c r="M26" s="672"/>
    </row>
    <row r="27" spans="1:22" ht="15.6" customHeight="1" thickBot="1">
      <c r="B27" s="1220"/>
      <c r="C27" s="1220"/>
      <c r="D27" s="1220" t="str">
        <f>"is contemplated that such notes will be renewed in "&amp;TEXT('KEY INPUTS'!D34+1,"0")&amp;" or written intent of permanent financing submitted."</f>
        <v>is contemplated that such notes will be renewed in 2020 or written intent of permanent financing submitted.</v>
      </c>
      <c r="E27" s="1119"/>
      <c r="F27" s="1114"/>
      <c r="G27" s="1114"/>
      <c r="H27" s="1114"/>
      <c r="I27" s="1416" t="str">
        <f>"Required Appropriation - "&amp;TEXT('KEY INPUTS'!D34+1,"0")&amp;""</f>
        <v>Required Appropriation - 2020</v>
      </c>
      <c r="J27" s="1169"/>
      <c r="K27" s="1169"/>
      <c r="L27" s="522" t="s">
        <v>482</v>
      </c>
      <c r="M27" s="1236">
        <f>+M25+M26</f>
        <v>0</v>
      </c>
    </row>
    <row r="28" spans="1:22" ht="13.8" thickTop="1">
      <c r="B28" s="1220"/>
      <c r="C28" s="1220"/>
      <c r="D28" s="1220" t="s">
        <v>49</v>
      </c>
      <c r="E28" s="1119"/>
      <c r="F28" s="1114"/>
      <c r="G28" s="1114"/>
      <c r="H28" s="1114"/>
      <c r="I28" s="1114"/>
    </row>
    <row r="29" spans="1:22">
      <c r="B29" s="1119"/>
      <c r="C29" s="1119"/>
      <c r="D29" s="1360" t="s">
        <v>50</v>
      </c>
      <c r="E29" s="1119"/>
      <c r="F29" s="1114"/>
      <c r="G29" s="1114"/>
      <c r="H29" s="1114"/>
      <c r="I29" s="1114"/>
    </row>
    <row r="30" spans="1:22">
      <c r="J30" s="518" t="s">
        <v>127</v>
      </c>
    </row>
  </sheetData>
  <sheetProtection algorithmName="SHA-512" hashValue="HEhP5TCwMLtLqLMgSn2WABJmSnMXnuEbD/qgru2c14WOpl7CVdKxW+sPSjYRvaMEbVcR2LgEYa0gEE9cRLDhxw==" saltValue="Li1DOIigVEbw1aa0eAgEPg==" spinCount="100000" sheet="1" objects="1" scenarios="1"/>
  <customSheetViews>
    <customSheetView guid="{AC653BD0-46E3-42CB-9C76-32121A57B65A}">
      <selection activeCell="M26" sqref="M26"/>
      <pageMargins left="0.25" right="0.25" top="0.5" bottom="0.5" header="0.25" footer="0.25"/>
      <pageSetup paperSize="5" orientation="landscape" r:id="rId1"/>
      <headerFooter alignWithMargins="0"/>
    </customSheetView>
    <customSheetView guid="{B165479B-DC25-403C-9595-F1A88A4AA9A2}">
      <selection activeCell="M26" sqref="M26"/>
      <pageMargins left="0.25" right="0.25" top="0.5" bottom="0.5" header="0.25" footer="0.25"/>
      <pageSetup paperSize="5" orientation="landscape" r:id="rId2"/>
      <headerFooter alignWithMargins="0"/>
    </customSheetView>
    <customSheetView guid="{A64E4C9E-A3DA-4AAA-8607-F524450B9436}">
      <selection activeCell="M26" sqref="M26"/>
      <pageMargins left="0.25" right="0.25" top="0.5" bottom="0.5" header="0.25" footer="0.25"/>
      <pageSetup paperSize="5" orientation="landscape" r:id="rId3"/>
      <headerFooter alignWithMargins="0"/>
    </customSheetView>
    <customSheetView guid="{AB4FBD91-4533-473A-9702-569FF6402073}">
      <selection activeCell="M26" sqref="M26"/>
      <pageMargins left="0.25" right="0.25" top="0.5" bottom="0.5" header="0.25" footer="0.25"/>
      <pageSetup paperSize="5" orientation="landscape" r:id="rId4"/>
      <headerFooter alignWithMargins="0"/>
    </customSheetView>
  </customSheetViews>
  <mergeCells count="6">
    <mergeCell ref="A15:A17"/>
    <mergeCell ref="I22:M22"/>
    <mergeCell ref="B2:M2"/>
    <mergeCell ref="B3:M3"/>
    <mergeCell ref="J5:K6"/>
    <mergeCell ref="C6:D6"/>
  </mergeCells>
  <pageMargins left="0.25" right="0.25" top="0.5" bottom="0.5" header="0.25" footer="0.25"/>
  <pageSetup paperSize="5" orientation="landscape" r:id="rId5"/>
  <headerFooter alignWithMargins="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8">
    <tabColor theme="2" tint="-0.249977111117893"/>
  </sheetPr>
  <dimension ref="A1:T29"/>
  <sheetViews>
    <sheetView zoomScaleNormal="100" zoomScaleSheetLayoutView="80" workbookViewId="0">
      <selection activeCell="G23" sqref="G23"/>
    </sheetView>
  </sheetViews>
  <sheetFormatPr defaultColWidth="9.109375" defaultRowHeight="13.2"/>
  <cols>
    <col min="1" max="1" width="5.6640625" style="331" customWidth="1"/>
    <col min="2" max="3" width="4.88671875" style="331" customWidth="1"/>
    <col min="4" max="4" width="31.5546875" style="331" customWidth="1"/>
    <col min="5" max="12" width="15.6640625" style="331" customWidth="1"/>
    <col min="13" max="16384" width="9.109375" style="331"/>
  </cols>
  <sheetData>
    <row r="1" spans="1:20">
      <c r="B1" s="1146"/>
      <c r="C1" s="1146"/>
      <c r="D1" s="1146"/>
      <c r="E1" s="1146"/>
      <c r="F1" s="1146"/>
      <c r="G1" s="1146"/>
      <c r="H1" s="1146"/>
      <c r="I1" s="1146"/>
      <c r="J1" s="1146"/>
      <c r="K1" s="1146"/>
      <c r="L1" s="1146"/>
    </row>
    <row r="2" spans="1:20" ht="20.399999999999999">
      <c r="B2" s="1788" t="str">
        <f>"DEBT  SERVICE  SCHEDULE  FOR  "&amp;UPPER('KEY INPUTS'!D55) &amp;"  UTILITY  ASSESSMENT  NOTES"</f>
        <v>DEBT  SERVICE  SCHEDULE  FOR    UTILITY  ASSESSMENT  NOTES</v>
      </c>
      <c r="C2" s="1788"/>
      <c r="D2" s="1788"/>
      <c r="E2" s="1788"/>
      <c r="F2" s="1788"/>
      <c r="G2" s="1788"/>
      <c r="H2" s="1788"/>
      <c r="I2" s="1788"/>
      <c r="J2" s="1788"/>
      <c r="K2" s="1788"/>
      <c r="L2" s="1788"/>
    </row>
    <row r="3" spans="1:20" ht="21" thickBot="1">
      <c r="B3" s="1870"/>
      <c r="C3" s="1870"/>
      <c r="D3" s="1870"/>
      <c r="E3" s="1870"/>
      <c r="F3" s="1870"/>
      <c r="G3" s="1870"/>
      <c r="H3" s="1870"/>
      <c r="I3" s="1870"/>
      <c r="J3" s="1870"/>
      <c r="K3" s="1870"/>
      <c r="L3" s="1870"/>
    </row>
    <row r="4" spans="1:20" ht="13.5" customHeight="1" thickTop="1">
      <c r="B4" s="1943"/>
      <c r="C4" s="1943"/>
      <c r="D4" s="1944"/>
      <c r="E4" s="1238"/>
      <c r="F4" s="1143"/>
      <c r="G4" s="1143"/>
      <c r="H4" s="1143"/>
      <c r="I4" s="1143"/>
      <c r="J4" s="1142"/>
      <c r="K4" s="1142"/>
      <c r="L4" s="1145"/>
    </row>
    <row r="5" spans="1:20" ht="13.5" customHeight="1">
      <c r="B5" s="1146"/>
      <c r="C5" s="1146"/>
      <c r="D5" s="1146"/>
      <c r="E5" s="1147" t="s">
        <v>176</v>
      </c>
      <c r="F5" s="1151" t="s">
        <v>176</v>
      </c>
      <c r="G5" s="1151" t="s">
        <v>533</v>
      </c>
      <c r="H5" s="1151" t="s">
        <v>18</v>
      </c>
      <c r="I5" s="1151" t="s">
        <v>684</v>
      </c>
      <c r="J5" s="1866">
        <f>'KEY INPUTS'!D33</f>
        <v>2020</v>
      </c>
      <c r="K5" s="1867"/>
      <c r="L5" s="1149" t="s">
        <v>685</v>
      </c>
    </row>
    <row r="6" spans="1:20" ht="13.5" customHeight="1">
      <c r="B6" s="1146"/>
      <c r="C6" s="1787" t="s">
        <v>175</v>
      </c>
      <c r="D6" s="1871"/>
      <c r="E6" s="1147" t="s">
        <v>533</v>
      </c>
      <c r="F6" s="1151" t="s">
        <v>177</v>
      </c>
      <c r="G6" s="1151" t="s">
        <v>681</v>
      </c>
      <c r="H6" s="1151" t="s">
        <v>682</v>
      </c>
      <c r="I6" s="1151" t="s">
        <v>682</v>
      </c>
      <c r="J6" s="1868"/>
      <c r="K6" s="1869"/>
      <c r="L6" s="1149" t="s">
        <v>688</v>
      </c>
    </row>
    <row r="7" spans="1:20" ht="13.5" customHeight="1">
      <c r="B7" s="1146"/>
      <c r="C7" s="1146"/>
      <c r="D7" s="1146"/>
      <c r="E7" s="1147" t="s">
        <v>113</v>
      </c>
      <c r="F7" s="1147" t="s">
        <v>178</v>
      </c>
      <c r="G7" s="1147" t="s">
        <v>257</v>
      </c>
      <c r="H7" s="1147" t="s">
        <v>683</v>
      </c>
      <c r="I7" s="1147" t="s">
        <v>685</v>
      </c>
      <c r="J7" s="1147" t="s">
        <v>142</v>
      </c>
      <c r="K7" s="1147" t="s">
        <v>686</v>
      </c>
      <c r="L7" s="1149" t="s">
        <v>689</v>
      </c>
      <c r="N7" s="322"/>
      <c r="O7" s="322"/>
      <c r="P7" s="322"/>
      <c r="Q7" s="322"/>
      <c r="R7" s="322"/>
      <c r="S7" s="322"/>
      <c r="T7" s="322"/>
    </row>
    <row r="8" spans="1:20" ht="13.5" customHeight="1" thickBot="1">
      <c r="B8" s="1153"/>
      <c r="C8" s="1153"/>
      <c r="D8" s="1153"/>
      <c r="E8" s="1154"/>
      <c r="F8" s="1154"/>
      <c r="G8" s="1364" t="str">
        <f>'KEY INPUTS'!D46</f>
        <v>Dec. 31, 2019</v>
      </c>
      <c r="H8" s="1154"/>
      <c r="I8" s="1154"/>
      <c r="J8" s="1155"/>
      <c r="K8" s="1255" t="s">
        <v>687</v>
      </c>
      <c r="L8" s="1157"/>
      <c r="N8" s="322"/>
      <c r="O8" s="322"/>
      <c r="P8" s="322"/>
      <c r="Q8" s="322"/>
      <c r="R8" s="322"/>
      <c r="S8" s="322"/>
      <c r="T8" s="322"/>
    </row>
    <row r="9" spans="1:20" ht="21" customHeight="1" thickTop="1">
      <c r="B9" s="1874"/>
      <c r="C9" s="1874"/>
      <c r="D9" s="1875"/>
      <c r="E9" s="605"/>
      <c r="F9" s="797"/>
      <c r="G9" s="605"/>
      <c r="H9" s="605"/>
      <c r="I9" s="798"/>
      <c r="J9" s="605"/>
      <c r="K9" s="605"/>
      <c r="L9" s="799"/>
      <c r="N9" s="377"/>
      <c r="O9" s="322"/>
      <c r="P9" s="322"/>
      <c r="Q9" s="322"/>
      <c r="R9" s="322"/>
      <c r="S9" s="322"/>
      <c r="T9" s="322"/>
    </row>
    <row r="10" spans="1:20" ht="21" customHeight="1">
      <c r="B10" s="1876"/>
      <c r="C10" s="1876"/>
      <c r="D10" s="1877"/>
      <c r="E10" s="601"/>
      <c r="F10" s="685"/>
      <c r="G10" s="601"/>
      <c r="H10" s="601"/>
      <c r="I10" s="623"/>
      <c r="J10" s="601"/>
      <c r="K10" s="601"/>
      <c r="L10" s="699"/>
      <c r="N10" s="322"/>
      <c r="O10" s="322"/>
      <c r="P10" s="322"/>
      <c r="Q10" s="322"/>
      <c r="R10" s="322"/>
      <c r="S10" s="322"/>
      <c r="T10" s="322"/>
    </row>
    <row r="11" spans="1:20" ht="21" customHeight="1">
      <c r="B11" s="1876"/>
      <c r="C11" s="1876"/>
      <c r="D11" s="1877"/>
      <c r="E11" s="601"/>
      <c r="F11" s="685"/>
      <c r="G11" s="601"/>
      <c r="H11" s="601"/>
      <c r="I11" s="623"/>
      <c r="J11" s="601"/>
      <c r="K11" s="601"/>
      <c r="L11" s="699"/>
      <c r="N11" s="322"/>
      <c r="O11" s="322"/>
      <c r="P11" s="322"/>
      <c r="Q11" s="322"/>
      <c r="R11" s="322"/>
      <c r="S11" s="322"/>
      <c r="T11" s="322"/>
    </row>
    <row r="12" spans="1:20" ht="21" customHeight="1">
      <c r="B12" s="1876"/>
      <c r="C12" s="1876"/>
      <c r="D12" s="1877"/>
      <c r="E12" s="601"/>
      <c r="F12" s="685"/>
      <c r="G12" s="601"/>
      <c r="H12" s="601"/>
      <c r="I12" s="623"/>
      <c r="J12" s="601"/>
      <c r="K12" s="601"/>
      <c r="L12" s="699"/>
      <c r="N12" s="322"/>
      <c r="O12" s="322"/>
      <c r="P12" s="322"/>
      <c r="Q12" s="322"/>
      <c r="R12" s="322"/>
      <c r="S12" s="322"/>
      <c r="T12" s="322"/>
    </row>
    <row r="13" spans="1:20" ht="21" customHeight="1">
      <c r="B13" s="1876"/>
      <c r="C13" s="1876"/>
      <c r="D13" s="1877"/>
      <c r="E13" s="601"/>
      <c r="F13" s="685"/>
      <c r="G13" s="601"/>
      <c r="H13" s="601"/>
      <c r="I13" s="623"/>
      <c r="J13" s="601"/>
      <c r="K13" s="601"/>
      <c r="L13" s="699"/>
      <c r="N13" s="322"/>
      <c r="O13" s="322"/>
      <c r="P13" s="322"/>
      <c r="Q13" s="322"/>
      <c r="R13" s="322"/>
      <c r="S13" s="322"/>
      <c r="T13" s="322"/>
    </row>
    <row r="14" spans="1:20" ht="21" customHeight="1">
      <c r="B14" s="1876"/>
      <c r="C14" s="1876"/>
      <c r="D14" s="1877"/>
      <c r="E14" s="604"/>
      <c r="F14" s="686"/>
      <c r="G14" s="604"/>
      <c r="H14" s="604"/>
      <c r="I14" s="626"/>
      <c r="J14" s="601"/>
      <c r="K14" s="601"/>
      <c r="L14" s="699"/>
      <c r="N14" s="322"/>
      <c r="O14" s="322"/>
      <c r="P14" s="322"/>
      <c r="Q14" s="322"/>
      <c r="R14" s="322"/>
      <c r="S14" s="322"/>
      <c r="T14" s="322"/>
    </row>
    <row r="15" spans="1:20" ht="21" customHeight="1">
      <c r="A15" s="1792" t="s">
        <v>3447</v>
      </c>
      <c r="B15" s="1876"/>
      <c r="C15" s="1876"/>
      <c r="D15" s="1877"/>
      <c r="E15" s="601"/>
      <c r="F15" s="685"/>
      <c r="G15" s="601"/>
      <c r="H15" s="601"/>
      <c r="I15" s="623"/>
      <c r="J15" s="601"/>
      <c r="K15" s="601"/>
      <c r="L15" s="699"/>
      <c r="N15" s="322"/>
      <c r="O15" s="322"/>
      <c r="P15" s="322"/>
      <c r="Q15" s="322"/>
      <c r="R15" s="322"/>
      <c r="S15" s="322"/>
      <c r="T15" s="322"/>
    </row>
    <row r="16" spans="1:20" ht="21" customHeight="1">
      <c r="A16" s="1792"/>
      <c r="B16" s="1876"/>
      <c r="C16" s="1876"/>
      <c r="D16" s="1877"/>
      <c r="E16" s="601"/>
      <c r="F16" s="685"/>
      <c r="G16" s="601"/>
      <c r="H16" s="601"/>
      <c r="I16" s="623"/>
      <c r="J16" s="601"/>
      <c r="K16" s="601"/>
      <c r="L16" s="699"/>
      <c r="N16" s="322"/>
      <c r="O16" s="322"/>
      <c r="P16" s="322"/>
      <c r="Q16" s="322"/>
      <c r="R16" s="322"/>
      <c r="S16" s="322"/>
      <c r="T16" s="322"/>
    </row>
    <row r="17" spans="1:20" ht="21" customHeight="1">
      <c r="A17" s="1792"/>
      <c r="B17" s="1876"/>
      <c r="C17" s="1876"/>
      <c r="D17" s="1877"/>
      <c r="E17" s="601"/>
      <c r="F17" s="685"/>
      <c r="G17" s="601"/>
      <c r="H17" s="601"/>
      <c r="I17" s="623"/>
      <c r="J17" s="601"/>
      <c r="K17" s="601"/>
      <c r="L17" s="699"/>
      <c r="N17" s="322"/>
      <c r="O17" s="322"/>
      <c r="P17" s="322"/>
      <c r="Q17" s="322"/>
      <c r="R17" s="322"/>
      <c r="S17" s="322"/>
      <c r="T17" s="322"/>
    </row>
    <row r="18" spans="1:20" ht="21" customHeight="1">
      <c r="A18" s="545"/>
      <c r="B18" s="1876"/>
      <c r="C18" s="1876"/>
      <c r="D18" s="1877"/>
      <c r="E18" s="601"/>
      <c r="F18" s="685"/>
      <c r="G18" s="601"/>
      <c r="H18" s="601"/>
      <c r="I18" s="623"/>
      <c r="J18" s="601"/>
      <c r="K18" s="601"/>
      <c r="L18" s="699"/>
      <c r="N18" s="322"/>
      <c r="O18" s="322"/>
      <c r="P18" s="322"/>
      <c r="Q18" s="322"/>
      <c r="R18" s="322"/>
      <c r="S18" s="322"/>
      <c r="T18" s="322"/>
    </row>
    <row r="19" spans="1:20" ht="21" customHeight="1">
      <c r="B19" s="1876"/>
      <c r="C19" s="1876"/>
      <c r="D19" s="1877"/>
      <c r="E19" s="601"/>
      <c r="F19" s="685"/>
      <c r="G19" s="601"/>
      <c r="H19" s="601"/>
      <c r="I19" s="623"/>
      <c r="J19" s="601"/>
      <c r="K19" s="601"/>
      <c r="L19" s="699"/>
      <c r="N19" s="322"/>
      <c r="O19" s="322"/>
      <c r="P19" s="322"/>
      <c r="Q19" s="322"/>
      <c r="R19" s="322"/>
      <c r="S19" s="322"/>
      <c r="T19" s="322"/>
    </row>
    <row r="20" spans="1:20" ht="21" customHeight="1">
      <c r="B20" s="1876"/>
      <c r="C20" s="1876"/>
      <c r="D20" s="1877"/>
      <c r="E20" s="601"/>
      <c r="F20" s="685"/>
      <c r="G20" s="601"/>
      <c r="H20" s="601"/>
      <c r="I20" s="623"/>
      <c r="J20" s="601"/>
      <c r="K20" s="601"/>
      <c r="L20" s="699"/>
      <c r="N20" s="322"/>
      <c r="O20" s="322"/>
      <c r="P20" s="322"/>
      <c r="Q20" s="322"/>
      <c r="R20" s="322"/>
      <c r="S20" s="322"/>
      <c r="T20" s="322"/>
    </row>
    <row r="21" spans="1:20" ht="21" customHeight="1">
      <c r="B21" s="1876"/>
      <c r="C21" s="1876"/>
      <c r="D21" s="1877"/>
      <c r="E21" s="601"/>
      <c r="F21" s="685"/>
      <c r="G21" s="601"/>
      <c r="H21" s="601"/>
      <c r="I21" s="623"/>
      <c r="J21" s="601"/>
      <c r="K21" s="601"/>
      <c r="L21" s="699"/>
      <c r="N21" s="322"/>
      <c r="O21" s="322"/>
      <c r="P21" s="322"/>
      <c r="Q21" s="322"/>
      <c r="R21" s="322"/>
      <c r="S21" s="322"/>
      <c r="T21" s="322"/>
    </row>
    <row r="22" spans="1:20" ht="21" customHeight="1">
      <c r="B22" s="1876"/>
      <c r="C22" s="1876"/>
      <c r="D22" s="1877"/>
      <c r="E22" s="601"/>
      <c r="F22" s="685"/>
      <c r="G22" s="601"/>
      <c r="H22" s="601"/>
      <c r="I22" s="623"/>
      <c r="J22" s="601"/>
      <c r="K22" s="601"/>
      <c r="L22" s="699"/>
      <c r="N22" s="322"/>
      <c r="O22" s="322"/>
      <c r="P22" s="322"/>
      <c r="Q22" s="322"/>
      <c r="R22" s="322"/>
      <c r="S22" s="322"/>
      <c r="T22" s="322"/>
    </row>
    <row r="23" spans="1:20" ht="21" customHeight="1" thickBot="1">
      <c r="B23" s="1472"/>
      <c r="C23" s="1473"/>
      <c r="D23" s="1474"/>
      <c r="E23" s="1365">
        <f>SUM(E9:E22)</f>
        <v>0</v>
      </c>
      <c r="F23" s="1419"/>
      <c r="G23" s="1365">
        <f>SUM(G9:G22)</f>
        <v>0</v>
      </c>
      <c r="H23" s="1365"/>
      <c r="I23" s="1365"/>
      <c r="J23" s="1365">
        <f>SUM(J9:J22)</f>
        <v>0</v>
      </c>
      <c r="K23" s="1365">
        <f>SUM(K9:K22)</f>
        <v>0</v>
      </c>
      <c r="L23" s="1420"/>
      <c r="N23" s="322"/>
      <c r="O23" s="322"/>
      <c r="P23" s="322"/>
      <c r="Q23" s="322"/>
      <c r="R23" s="322"/>
      <c r="S23" s="322"/>
      <c r="T23" s="322"/>
    </row>
    <row r="24" spans="1:20" ht="13.5" customHeight="1" thickTop="1">
      <c r="B24" s="1366" t="s">
        <v>44</v>
      </c>
      <c r="C24" s="1367"/>
      <c r="D24" s="1368"/>
      <c r="E24" s="1146"/>
      <c r="F24" s="1146"/>
      <c r="G24" s="1146"/>
      <c r="H24" s="1146"/>
      <c r="I24" s="1146"/>
      <c r="J24" s="1369"/>
      <c r="K24" s="1369"/>
      <c r="L24" s="1146"/>
    </row>
    <row r="25" spans="1:20" ht="13.5" customHeight="1">
      <c r="B25" s="1366" t="s">
        <v>693</v>
      </c>
      <c r="C25" s="1367"/>
      <c r="D25" s="1368"/>
      <c r="E25" s="1146"/>
      <c r="F25" s="1146"/>
      <c r="G25" s="1146"/>
      <c r="H25" s="1146"/>
      <c r="I25" s="1146"/>
      <c r="J25" s="1146"/>
      <c r="K25" s="1146"/>
      <c r="L25" s="1146"/>
    </row>
    <row r="26" spans="1:20" ht="13.5" customHeight="1">
      <c r="B26" s="1366"/>
      <c r="C26" s="1367" t="str">
        <f>"Utility Assessment Notes with an original date of issue of December 31, 2016 "&amp;" or prior must be appropriated in full in the "&amp;TEXT('KEY INPUTS'!D34+1,"0")&amp;" Dedicated Utility Assessment Budget or written intent of"</f>
        <v>Utility Assessment Notes with an original date of issue of December 31, 2016  or prior must be appropriated in full in the 2020 Dedicated Utility Assessment Budget or written intent of</v>
      </c>
      <c r="D26" s="1368"/>
      <c r="E26" s="1146"/>
      <c r="F26" s="1146"/>
      <c r="G26" s="1146"/>
      <c r="H26" s="1146"/>
      <c r="I26" s="1146"/>
      <c r="J26" s="1146"/>
      <c r="K26" s="1146"/>
      <c r="L26" s="1146"/>
    </row>
    <row r="27" spans="1:20" ht="13.5" customHeight="1">
      <c r="B27" s="1366"/>
      <c r="C27" s="1367"/>
      <c r="D27" s="1370" t="s">
        <v>644</v>
      </c>
      <c r="E27" s="1146"/>
      <c r="F27" s="1146"/>
      <c r="G27" s="1146"/>
      <c r="H27" s="1146"/>
      <c r="I27" s="1146"/>
      <c r="J27" s="1146"/>
      <c r="K27" s="1146"/>
      <c r="L27" s="1146"/>
    </row>
    <row r="28" spans="1:20" ht="13.5" customHeight="1">
      <c r="B28" s="1366"/>
      <c r="C28" s="1367" t="s">
        <v>394</v>
      </c>
      <c r="D28" s="1368"/>
      <c r="E28" s="1146"/>
      <c r="F28" s="1146"/>
      <c r="G28" s="1146"/>
      <c r="H28" s="1146"/>
      <c r="I28" s="1146"/>
      <c r="J28" s="1371"/>
      <c r="K28" s="1146"/>
      <c r="L28" s="1146"/>
    </row>
    <row r="29" spans="1:20">
      <c r="B29" s="541"/>
      <c r="C29" s="411"/>
      <c r="D29" s="411"/>
    </row>
  </sheetData>
  <sheetProtection algorithmName="SHA-512" hashValue="ORmcAtwowITPuPNIRcqpSkswZNVMKTCpCL+nr18x7aSfTJO16SCNrww+1SWxUhC9fHexPyPZFdfKjxJpYktlhw==" saltValue="5PjBFjSAahzVaTm7vOlOVw==" spinCount="100000" sheet="1" objects="1" scenarios="1"/>
  <customSheetViews>
    <customSheetView guid="{AC653BD0-46E3-42CB-9C76-32121A57B65A}">
      <selection activeCell="G23" sqref="G23"/>
      <pageMargins left="0.25" right="0.25" top="0.5" bottom="0.5" header="0.25" footer="0.25"/>
      <pageSetup paperSize="5" orientation="landscape" r:id="rId1"/>
      <headerFooter alignWithMargins="0"/>
    </customSheetView>
    <customSheetView guid="{B165479B-DC25-403C-9595-F1A88A4AA9A2}">
      <selection activeCell="G23" sqref="G23"/>
      <pageMargins left="0.25" right="0.25" top="0.5" bottom="0.5" header="0.25" footer="0.25"/>
      <pageSetup paperSize="5" orientation="landscape" r:id="rId2"/>
      <headerFooter alignWithMargins="0"/>
    </customSheetView>
    <customSheetView guid="{A64E4C9E-A3DA-4AAA-8607-F524450B9436}">
      <selection activeCell="G23" sqref="G23"/>
      <pageMargins left="0.25" right="0.25" top="0.5" bottom="0.5" header="0.25" footer="0.25"/>
      <pageSetup paperSize="5" orientation="landscape" r:id="rId3"/>
      <headerFooter alignWithMargins="0"/>
    </customSheetView>
    <customSheetView guid="{AB4FBD91-4533-473A-9702-569FF6402073}">
      <selection activeCell="G23" sqref="G23"/>
      <pageMargins left="0.25" right="0.25" top="0.5" bottom="0.5" header="0.25" footer="0.25"/>
      <pageSetup paperSize="5" orientation="landscape" r:id="rId4"/>
      <headerFooter alignWithMargins="0"/>
    </customSheetView>
  </customSheetViews>
  <mergeCells count="20">
    <mergeCell ref="B18:D18"/>
    <mergeCell ref="B19:D19"/>
    <mergeCell ref="B20:D20"/>
    <mergeCell ref="B21:D21"/>
    <mergeCell ref="B22:D22"/>
    <mergeCell ref="A15:A17"/>
    <mergeCell ref="B2:L2"/>
    <mergeCell ref="B3:L3"/>
    <mergeCell ref="B4:D4"/>
    <mergeCell ref="J5:K6"/>
    <mergeCell ref="C6:D6"/>
    <mergeCell ref="B9:D9"/>
    <mergeCell ref="B10:D10"/>
    <mergeCell ref="B11:D11"/>
    <mergeCell ref="B12:D12"/>
    <mergeCell ref="B13:D13"/>
    <mergeCell ref="B14:D14"/>
    <mergeCell ref="B15:D15"/>
    <mergeCell ref="B16:D16"/>
    <mergeCell ref="B17:D17"/>
  </mergeCells>
  <pageMargins left="0.25" right="0.25" top="0.5" bottom="0.5" header="0.25" footer="0.25"/>
  <pageSetup paperSize="5" orientation="landscape" r:id="rId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B2:O52"/>
  <sheetViews>
    <sheetView topLeftCell="A4" zoomScaleNormal="100" workbookViewId="0">
      <selection activeCell="B1" sqref="B1"/>
    </sheetView>
  </sheetViews>
  <sheetFormatPr defaultColWidth="9.109375" defaultRowHeight="13.2"/>
  <cols>
    <col min="1" max="3" width="4.6640625" style="322" customWidth="1"/>
    <col min="4" max="4" width="9.109375" style="322"/>
    <col min="5" max="5" width="11.88671875" style="322" customWidth="1"/>
    <col min="6" max="6" width="1.6640625" style="322" customWidth="1"/>
    <col min="7" max="7" width="14.6640625" style="322" customWidth="1"/>
    <col min="8" max="8" width="1.6640625" style="322" customWidth="1"/>
    <col min="9" max="9" width="14.6640625" style="322" customWidth="1"/>
    <col min="10" max="10" width="1.6640625" style="322" customWidth="1"/>
    <col min="11" max="11" width="14.6640625" style="322" customWidth="1"/>
    <col min="12" max="12" width="1.6640625" style="322" customWidth="1"/>
    <col min="13" max="13" width="14.6640625" style="322" customWidth="1"/>
    <col min="14" max="14" width="10.88671875" style="322" bestFit="1" customWidth="1"/>
    <col min="15" max="15" width="13.5546875" style="322" bestFit="1" customWidth="1"/>
    <col min="16" max="16384" width="9.109375" style="322"/>
  </cols>
  <sheetData>
    <row r="2" spans="2:15" ht="20.399999999999999">
      <c r="B2" s="1508" t="s">
        <v>3640</v>
      </c>
      <c r="C2" s="1508"/>
      <c r="D2" s="1508"/>
      <c r="E2" s="1508"/>
      <c r="F2" s="1508"/>
      <c r="G2" s="1508"/>
      <c r="H2" s="1508"/>
      <c r="I2" s="1508"/>
      <c r="J2" s="1508"/>
      <c r="K2" s="1508"/>
      <c r="L2" s="1508"/>
      <c r="M2" s="1508"/>
    </row>
    <row r="3" spans="2:15">
      <c r="B3" s="1511"/>
      <c r="C3" s="1511"/>
      <c r="D3" s="1511"/>
      <c r="E3" s="1511"/>
      <c r="F3" s="1511"/>
      <c r="G3" s="1511"/>
      <c r="H3" s="1511"/>
      <c r="I3" s="1511"/>
      <c r="J3" s="1511"/>
      <c r="K3" s="1511"/>
      <c r="L3" s="1511"/>
      <c r="M3" s="1511"/>
    </row>
    <row r="5" spans="2:15">
      <c r="B5" s="1572"/>
      <c r="C5" s="1572"/>
      <c r="D5" s="1572"/>
      <c r="G5" s="733" t="s">
        <v>533</v>
      </c>
      <c r="I5" s="735"/>
      <c r="K5" s="735"/>
    </row>
    <row r="6" spans="2:15">
      <c r="B6" s="1572"/>
      <c r="C6" s="1572"/>
      <c r="D6" s="1572"/>
      <c r="G6" s="297" t="str">
        <f>'KEY INPUTS'!D45</f>
        <v>Dec. 31, 2018</v>
      </c>
      <c r="I6" s="733"/>
      <c r="K6" s="733"/>
      <c r="M6" s="733" t="s">
        <v>671</v>
      </c>
    </row>
    <row r="7" spans="2:15">
      <c r="G7" s="733" t="s">
        <v>552</v>
      </c>
      <c r="I7" s="733"/>
      <c r="K7" s="733"/>
      <c r="M7" s="733" t="s">
        <v>556</v>
      </c>
    </row>
    <row r="8" spans="2:15">
      <c r="B8" s="1572" t="s">
        <v>532</v>
      </c>
      <c r="C8" s="1572"/>
      <c r="D8" s="1572"/>
      <c r="G8" s="735" t="s">
        <v>551</v>
      </c>
      <c r="I8" s="735" t="s">
        <v>546</v>
      </c>
      <c r="K8" s="735" t="s">
        <v>677</v>
      </c>
      <c r="M8" s="294" t="str">
        <f>'KEY INPUTS'!D46</f>
        <v>Dec. 31, 2019</v>
      </c>
    </row>
    <row r="9" spans="2:15">
      <c r="B9" s="735"/>
      <c r="C9" s="735"/>
      <c r="D9" s="735"/>
      <c r="G9" s="250"/>
      <c r="I9" s="735"/>
      <c r="K9" s="735"/>
      <c r="M9" s="133"/>
    </row>
    <row r="10" spans="2:15" ht="21" customHeight="1">
      <c r="B10" s="856" t="s">
        <v>3539</v>
      </c>
      <c r="C10" s="857"/>
      <c r="D10" s="857"/>
      <c r="E10" s="857"/>
      <c r="F10" s="839"/>
      <c r="G10" s="858">
        <f>+'6b.2-Trust Fund Reserves'!G48</f>
        <v>2842145.7200000007</v>
      </c>
      <c r="H10" s="839"/>
      <c r="I10" s="858">
        <f>+'6b.2-Trust Fund Reserves'!I48</f>
        <v>8873567.6899999995</v>
      </c>
      <c r="J10" s="839"/>
      <c r="K10" s="858">
        <f>+'6b.2-Trust Fund Reserves'!K48</f>
        <v>8562204.4100000001</v>
      </c>
      <c r="L10" s="839"/>
      <c r="M10" s="858">
        <f>+'6b.2-Trust Fund Reserves'!M48</f>
        <v>3153509</v>
      </c>
      <c r="N10" s="325"/>
      <c r="O10" s="325"/>
    </row>
    <row r="11" spans="2:15" ht="21" customHeight="1">
      <c r="B11" s="375"/>
      <c r="C11" s="375"/>
      <c r="D11" s="375"/>
      <c r="E11" s="375"/>
      <c r="F11" s="397"/>
      <c r="G11" s="376"/>
      <c r="H11" s="397"/>
      <c r="I11" s="376"/>
      <c r="J11" s="397"/>
      <c r="K11" s="376"/>
      <c r="L11" s="379"/>
      <c r="M11" s="855">
        <f t="shared" ref="M11:M47" si="0">+G11+I11-K11</f>
        <v>0</v>
      </c>
      <c r="N11" s="325"/>
    </row>
    <row r="12" spans="2:15" ht="21" customHeight="1">
      <c r="B12" s="375"/>
      <c r="C12" s="375"/>
      <c r="D12" s="375"/>
      <c r="E12" s="375"/>
      <c r="F12" s="397"/>
      <c r="G12" s="376"/>
      <c r="H12" s="397"/>
      <c r="I12" s="376"/>
      <c r="J12" s="397"/>
      <c r="K12" s="376"/>
      <c r="L12" s="379"/>
      <c r="M12" s="855">
        <f t="shared" si="0"/>
        <v>0</v>
      </c>
      <c r="N12" s="325"/>
    </row>
    <row r="13" spans="2:15" ht="21" customHeight="1">
      <c r="B13" s="375"/>
      <c r="C13" s="375"/>
      <c r="D13" s="375"/>
      <c r="E13" s="375"/>
      <c r="F13" s="397"/>
      <c r="G13" s="376"/>
      <c r="H13" s="397"/>
      <c r="I13" s="665"/>
      <c r="J13" s="397"/>
      <c r="K13" s="376"/>
      <c r="L13" s="379"/>
      <c r="M13" s="855">
        <f t="shared" si="0"/>
        <v>0</v>
      </c>
      <c r="N13" s="325"/>
      <c r="O13" s="377"/>
    </row>
    <row r="14" spans="2:15" ht="21" customHeight="1">
      <c r="B14" s="666"/>
      <c r="C14" s="375"/>
      <c r="D14" s="375"/>
      <c r="E14" s="375"/>
      <c r="F14" s="397"/>
      <c r="G14" s="376"/>
      <c r="H14" s="397"/>
      <c r="I14" s="376"/>
      <c r="J14" s="397"/>
      <c r="K14" s="376"/>
      <c r="L14" s="379"/>
      <c r="M14" s="855">
        <f t="shared" si="0"/>
        <v>0</v>
      </c>
      <c r="N14" s="325"/>
    </row>
    <row r="15" spans="2:15" ht="21" customHeight="1">
      <c r="B15" s="375"/>
      <c r="C15" s="375"/>
      <c r="D15" s="375"/>
      <c r="E15" s="375"/>
      <c r="F15" s="397"/>
      <c r="G15" s="376"/>
      <c r="H15" s="397"/>
      <c r="I15" s="376"/>
      <c r="J15" s="397"/>
      <c r="K15" s="376"/>
      <c r="L15" s="379"/>
      <c r="M15" s="855">
        <f t="shared" si="0"/>
        <v>0</v>
      </c>
      <c r="N15" s="325"/>
    </row>
    <row r="16" spans="2:15" ht="21" customHeight="1">
      <c r="B16" s="375"/>
      <c r="C16" s="375"/>
      <c r="D16" s="375"/>
      <c r="E16" s="375"/>
      <c r="F16" s="397"/>
      <c r="G16" s="376"/>
      <c r="H16" s="397"/>
      <c r="I16" s="376"/>
      <c r="J16" s="397"/>
      <c r="K16" s="376"/>
      <c r="L16" s="379"/>
      <c r="M16" s="855">
        <f t="shared" si="0"/>
        <v>0</v>
      </c>
      <c r="N16" s="325"/>
    </row>
    <row r="17" spans="2:14" ht="21" customHeight="1">
      <c r="B17" s="375"/>
      <c r="C17" s="375"/>
      <c r="D17" s="375"/>
      <c r="E17" s="375"/>
      <c r="F17" s="397"/>
      <c r="G17" s="376"/>
      <c r="H17" s="397"/>
      <c r="I17" s="376"/>
      <c r="J17" s="397"/>
      <c r="K17" s="376"/>
      <c r="L17" s="379"/>
      <c r="M17" s="855">
        <f t="shared" si="0"/>
        <v>0</v>
      </c>
      <c r="N17" s="325"/>
    </row>
    <row r="18" spans="2:14" ht="21" customHeight="1">
      <c r="B18" s="375"/>
      <c r="C18" s="375"/>
      <c r="D18" s="375"/>
      <c r="E18" s="375"/>
      <c r="F18" s="397"/>
      <c r="G18" s="376"/>
      <c r="H18" s="397"/>
      <c r="I18" s="376"/>
      <c r="J18" s="397"/>
      <c r="K18" s="376"/>
      <c r="L18" s="379"/>
      <c r="M18" s="855">
        <f t="shared" si="0"/>
        <v>0</v>
      </c>
      <c r="N18" s="325"/>
    </row>
    <row r="19" spans="2:14" ht="21" customHeight="1">
      <c r="B19" s="666"/>
      <c r="C19" s="375"/>
      <c r="D19" s="375"/>
      <c r="E19" s="375"/>
      <c r="F19" s="397"/>
      <c r="G19" s="376"/>
      <c r="H19" s="397"/>
      <c r="I19" s="376"/>
      <c r="J19" s="397"/>
      <c r="K19" s="376"/>
      <c r="L19" s="379"/>
      <c r="M19" s="855">
        <f t="shared" si="0"/>
        <v>0</v>
      </c>
      <c r="N19" s="325"/>
    </row>
    <row r="20" spans="2:14" ht="21" customHeight="1">
      <c r="B20" s="666"/>
      <c r="C20" s="375"/>
      <c r="D20" s="375"/>
      <c r="E20" s="375"/>
      <c r="F20" s="397"/>
      <c r="G20" s="376"/>
      <c r="H20" s="397"/>
      <c r="I20" s="376"/>
      <c r="J20" s="397"/>
      <c r="K20" s="376"/>
      <c r="L20" s="379"/>
      <c r="M20" s="855">
        <f t="shared" si="0"/>
        <v>0</v>
      </c>
      <c r="N20" s="325"/>
    </row>
    <row r="21" spans="2:14" ht="21" customHeight="1">
      <c r="B21" s="666"/>
      <c r="C21" s="375"/>
      <c r="D21" s="375"/>
      <c r="E21" s="375"/>
      <c r="F21" s="397"/>
      <c r="G21" s="376"/>
      <c r="H21" s="397"/>
      <c r="I21" s="376"/>
      <c r="J21" s="397"/>
      <c r="K21" s="376"/>
      <c r="L21" s="379"/>
      <c r="M21" s="855">
        <f t="shared" si="0"/>
        <v>0</v>
      </c>
      <c r="N21" s="325"/>
    </row>
    <row r="22" spans="2:14" ht="21" customHeight="1">
      <c r="B22" s="666"/>
      <c r="C22" s="375"/>
      <c r="D22" s="375"/>
      <c r="E22" s="375"/>
      <c r="F22" s="397"/>
      <c r="G22" s="376"/>
      <c r="H22" s="397"/>
      <c r="I22" s="376"/>
      <c r="J22" s="397"/>
      <c r="K22" s="376"/>
      <c r="L22" s="379"/>
      <c r="M22" s="855">
        <f t="shared" si="0"/>
        <v>0</v>
      </c>
      <c r="N22" s="325"/>
    </row>
    <row r="23" spans="2:14" ht="21" customHeight="1">
      <c r="B23" s="666"/>
      <c r="C23" s="375"/>
      <c r="D23" s="375"/>
      <c r="E23" s="375"/>
      <c r="F23" s="397"/>
      <c r="G23" s="376"/>
      <c r="H23" s="397"/>
      <c r="I23" s="376"/>
      <c r="J23" s="397"/>
      <c r="K23" s="376"/>
      <c r="L23" s="379"/>
      <c r="M23" s="855">
        <f t="shared" si="0"/>
        <v>0</v>
      </c>
      <c r="N23" s="325"/>
    </row>
    <row r="24" spans="2:14" ht="21" customHeight="1">
      <c r="B24" s="666"/>
      <c r="C24" s="375"/>
      <c r="D24" s="375"/>
      <c r="E24" s="375"/>
      <c r="F24" s="397"/>
      <c r="G24" s="376"/>
      <c r="H24" s="397"/>
      <c r="I24" s="376"/>
      <c r="J24" s="397"/>
      <c r="K24" s="376"/>
      <c r="L24" s="379"/>
      <c r="M24" s="855">
        <f t="shared" si="0"/>
        <v>0</v>
      </c>
      <c r="N24" s="325"/>
    </row>
    <row r="25" spans="2:14" ht="21" customHeight="1">
      <c r="B25" s="375"/>
      <c r="C25" s="375"/>
      <c r="D25" s="375"/>
      <c r="E25" s="375"/>
      <c r="F25" s="397"/>
      <c r="G25" s="376"/>
      <c r="H25" s="397"/>
      <c r="I25" s="376"/>
      <c r="J25" s="397"/>
      <c r="K25" s="376"/>
      <c r="L25" s="379"/>
      <c r="M25" s="855">
        <f t="shared" si="0"/>
        <v>0</v>
      </c>
      <c r="N25" s="325"/>
    </row>
    <row r="26" spans="2:14" ht="21" customHeight="1">
      <c r="B26" s="375"/>
      <c r="C26" s="375"/>
      <c r="D26" s="375"/>
      <c r="E26" s="375"/>
      <c r="F26" s="397"/>
      <c r="G26" s="376"/>
      <c r="H26" s="397"/>
      <c r="I26" s="376"/>
      <c r="J26" s="397"/>
      <c r="K26" s="376"/>
      <c r="L26" s="379"/>
      <c r="M26" s="855">
        <f t="shared" si="0"/>
        <v>0</v>
      </c>
    </row>
    <row r="27" spans="2:14" ht="21" customHeight="1">
      <c r="B27" s="375"/>
      <c r="C27" s="375"/>
      <c r="D27" s="375"/>
      <c r="E27" s="375"/>
      <c r="F27" s="397"/>
      <c r="G27" s="376"/>
      <c r="H27" s="397"/>
      <c r="I27" s="376"/>
      <c r="J27" s="397"/>
      <c r="K27" s="376"/>
      <c r="L27" s="379"/>
      <c r="M27" s="855">
        <f t="shared" si="0"/>
        <v>0</v>
      </c>
    </row>
    <row r="28" spans="2:14" ht="21" customHeight="1">
      <c r="B28" s="375"/>
      <c r="C28" s="375"/>
      <c r="D28" s="375"/>
      <c r="E28" s="375"/>
      <c r="F28" s="397"/>
      <c r="G28" s="376"/>
      <c r="H28" s="397"/>
      <c r="I28" s="376"/>
      <c r="J28" s="397"/>
      <c r="K28" s="376"/>
      <c r="L28" s="379"/>
      <c r="M28" s="855">
        <f t="shared" si="0"/>
        <v>0</v>
      </c>
    </row>
    <row r="29" spans="2:14" ht="21" customHeight="1">
      <c r="B29" s="375"/>
      <c r="C29" s="375"/>
      <c r="D29" s="375"/>
      <c r="E29" s="375"/>
      <c r="F29" s="397"/>
      <c r="G29" s="376"/>
      <c r="H29" s="397"/>
      <c r="I29" s="376"/>
      <c r="J29" s="397"/>
      <c r="K29" s="376"/>
      <c r="L29" s="379"/>
      <c r="M29" s="855">
        <f t="shared" si="0"/>
        <v>0</v>
      </c>
    </row>
    <row r="30" spans="2:14" ht="21" customHeight="1">
      <c r="B30" s="375"/>
      <c r="C30" s="375"/>
      <c r="D30" s="375"/>
      <c r="E30" s="375"/>
      <c r="F30" s="397"/>
      <c r="G30" s="376"/>
      <c r="H30" s="397"/>
      <c r="I30" s="376"/>
      <c r="J30" s="397"/>
      <c r="K30" s="376"/>
      <c r="L30" s="379"/>
      <c r="M30" s="855">
        <f t="shared" si="0"/>
        <v>0</v>
      </c>
    </row>
    <row r="31" spans="2:14" ht="21" customHeight="1">
      <c r="B31" s="375"/>
      <c r="C31" s="375"/>
      <c r="D31" s="375"/>
      <c r="E31" s="375"/>
      <c r="F31" s="397"/>
      <c r="G31" s="376"/>
      <c r="H31" s="397"/>
      <c r="I31" s="376"/>
      <c r="J31" s="397"/>
      <c r="K31" s="376"/>
      <c r="L31" s="379"/>
      <c r="M31" s="855">
        <f t="shared" si="0"/>
        <v>0</v>
      </c>
    </row>
    <row r="32" spans="2:14" ht="21" customHeight="1">
      <c r="B32" s="375"/>
      <c r="C32" s="375"/>
      <c r="D32" s="375"/>
      <c r="E32" s="375"/>
      <c r="F32" s="397"/>
      <c r="G32" s="376"/>
      <c r="H32" s="397"/>
      <c r="I32" s="376"/>
      <c r="J32" s="397"/>
      <c r="K32" s="376"/>
      <c r="L32" s="379"/>
      <c r="M32" s="855">
        <f t="shared" si="0"/>
        <v>0</v>
      </c>
    </row>
    <row r="33" spans="2:13" ht="21" customHeight="1">
      <c r="B33" s="375"/>
      <c r="C33" s="375"/>
      <c r="D33" s="375"/>
      <c r="E33" s="375"/>
      <c r="F33" s="397"/>
      <c r="G33" s="376"/>
      <c r="H33" s="397"/>
      <c r="I33" s="376"/>
      <c r="J33" s="397"/>
      <c r="K33" s="376"/>
      <c r="L33" s="379"/>
      <c r="M33" s="855">
        <f t="shared" si="0"/>
        <v>0</v>
      </c>
    </row>
    <row r="34" spans="2:13" ht="21" customHeight="1">
      <c r="B34" s="375"/>
      <c r="C34" s="375"/>
      <c r="D34" s="375"/>
      <c r="E34" s="375"/>
      <c r="F34" s="397"/>
      <c r="G34" s="376"/>
      <c r="H34" s="397"/>
      <c r="I34" s="376"/>
      <c r="J34" s="397"/>
      <c r="K34" s="376"/>
      <c r="L34" s="379"/>
      <c r="M34" s="855">
        <f t="shared" si="0"/>
        <v>0</v>
      </c>
    </row>
    <row r="35" spans="2:13" ht="21" customHeight="1">
      <c r="B35" s="375"/>
      <c r="C35" s="375"/>
      <c r="D35" s="375"/>
      <c r="E35" s="375"/>
      <c r="F35" s="397"/>
      <c r="G35" s="376"/>
      <c r="H35" s="397"/>
      <c r="I35" s="376"/>
      <c r="J35" s="397"/>
      <c r="K35" s="376"/>
      <c r="L35" s="379"/>
      <c r="M35" s="855">
        <f t="shared" si="0"/>
        <v>0</v>
      </c>
    </row>
    <row r="36" spans="2:13" ht="21" customHeight="1">
      <c r="B36" s="375"/>
      <c r="C36" s="375"/>
      <c r="D36" s="375"/>
      <c r="E36" s="375"/>
      <c r="F36" s="397"/>
      <c r="G36" s="376"/>
      <c r="H36" s="397"/>
      <c r="I36" s="376"/>
      <c r="J36" s="397"/>
      <c r="K36" s="376"/>
      <c r="L36" s="379"/>
      <c r="M36" s="855">
        <f t="shared" si="0"/>
        <v>0</v>
      </c>
    </row>
    <row r="37" spans="2:13" ht="21" customHeight="1">
      <c r="B37" s="375"/>
      <c r="C37" s="375"/>
      <c r="D37" s="375"/>
      <c r="E37" s="375"/>
      <c r="F37" s="397"/>
      <c r="G37" s="376"/>
      <c r="H37" s="397"/>
      <c r="I37" s="376"/>
      <c r="J37" s="397"/>
      <c r="K37" s="376"/>
      <c r="L37" s="379"/>
      <c r="M37" s="855">
        <f t="shared" si="0"/>
        <v>0</v>
      </c>
    </row>
    <row r="38" spans="2:13" ht="21" customHeight="1">
      <c r="B38" s="375"/>
      <c r="C38" s="375"/>
      <c r="D38" s="375"/>
      <c r="E38" s="375"/>
      <c r="F38" s="397"/>
      <c r="G38" s="376"/>
      <c r="H38" s="397"/>
      <c r="I38" s="376"/>
      <c r="J38" s="397"/>
      <c r="K38" s="376"/>
      <c r="L38" s="379"/>
      <c r="M38" s="855">
        <f t="shared" si="0"/>
        <v>0</v>
      </c>
    </row>
    <row r="39" spans="2:13" ht="21" customHeight="1">
      <c r="B39" s="375"/>
      <c r="C39" s="375"/>
      <c r="D39" s="375"/>
      <c r="E39" s="375"/>
      <c r="F39" s="397"/>
      <c r="G39" s="376"/>
      <c r="H39" s="397"/>
      <c r="I39" s="376"/>
      <c r="J39" s="397"/>
      <c r="K39" s="376"/>
      <c r="L39" s="379"/>
      <c r="M39" s="855">
        <f t="shared" si="0"/>
        <v>0</v>
      </c>
    </row>
    <row r="40" spans="2:13" ht="21" customHeight="1">
      <c r="B40" s="375"/>
      <c r="C40" s="375"/>
      <c r="D40" s="375"/>
      <c r="E40" s="375"/>
      <c r="F40" s="397"/>
      <c r="G40" s="376"/>
      <c r="H40" s="397"/>
      <c r="I40" s="376"/>
      <c r="J40" s="397"/>
      <c r="K40" s="376"/>
      <c r="L40" s="379"/>
      <c r="M40" s="855">
        <f t="shared" si="0"/>
        <v>0</v>
      </c>
    </row>
    <row r="41" spans="2:13" ht="21" customHeight="1">
      <c r="B41" s="375"/>
      <c r="C41" s="375"/>
      <c r="D41" s="375"/>
      <c r="E41" s="375"/>
      <c r="F41" s="397"/>
      <c r="G41" s="376"/>
      <c r="H41" s="397"/>
      <c r="I41" s="376"/>
      <c r="J41" s="397"/>
      <c r="K41" s="376"/>
      <c r="L41" s="379"/>
      <c r="M41" s="855">
        <f t="shared" si="0"/>
        <v>0</v>
      </c>
    </row>
    <row r="42" spans="2:13" ht="21" customHeight="1">
      <c r="B42" s="375"/>
      <c r="C42" s="375"/>
      <c r="D42" s="375"/>
      <c r="E42" s="375"/>
      <c r="F42" s="397"/>
      <c r="G42" s="376"/>
      <c r="H42" s="397"/>
      <c r="I42" s="376"/>
      <c r="J42" s="397"/>
      <c r="K42" s="376"/>
      <c r="L42" s="379"/>
      <c r="M42" s="855">
        <f t="shared" si="0"/>
        <v>0</v>
      </c>
    </row>
    <row r="43" spans="2:13" ht="21" customHeight="1">
      <c r="B43" s="375"/>
      <c r="C43" s="375"/>
      <c r="D43" s="375"/>
      <c r="E43" s="375"/>
      <c r="F43" s="397"/>
      <c r="G43" s="376"/>
      <c r="H43" s="397"/>
      <c r="I43" s="376"/>
      <c r="J43" s="397"/>
      <c r="K43" s="376"/>
      <c r="L43" s="379"/>
      <c r="M43" s="855">
        <f t="shared" si="0"/>
        <v>0</v>
      </c>
    </row>
    <row r="44" spans="2:13" ht="21" customHeight="1">
      <c r="B44" s="375"/>
      <c r="C44" s="375"/>
      <c r="D44" s="375"/>
      <c r="E44" s="375"/>
      <c r="F44" s="397"/>
      <c r="G44" s="376"/>
      <c r="H44" s="397"/>
      <c r="I44" s="376"/>
      <c r="J44" s="397"/>
      <c r="K44" s="376"/>
      <c r="L44" s="379"/>
      <c r="M44" s="855">
        <f t="shared" si="0"/>
        <v>0</v>
      </c>
    </row>
    <row r="45" spans="2:13" ht="21" customHeight="1">
      <c r="B45" s="375"/>
      <c r="C45" s="375"/>
      <c r="D45" s="375"/>
      <c r="E45" s="375"/>
      <c r="F45" s="397"/>
      <c r="G45" s="376"/>
      <c r="H45" s="397"/>
      <c r="I45" s="376"/>
      <c r="J45" s="397"/>
      <c r="K45" s="376"/>
      <c r="L45" s="379"/>
      <c r="M45" s="855">
        <f t="shared" si="0"/>
        <v>0</v>
      </c>
    </row>
    <row r="46" spans="2:13" ht="21" customHeight="1">
      <c r="B46" s="375"/>
      <c r="C46" s="375"/>
      <c r="D46" s="375"/>
      <c r="E46" s="375"/>
      <c r="F46" s="397"/>
      <c r="G46" s="376"/>
      <c r="H46" s="397"/>
      <c r="I46" s="376"/>
      <c r="J46" s="397"/>
      <c r="K46" s="376"/>
      <c r="L46" s="379"/>
      <c r="M46" s="855">
        <f t="shared" si="0"/>
        <v>0</v>
      </c>
    </row>
    <row r="47" spans="2:13" ht="21" customHeight="1">
      <c r="B47" s="375"/>
      <c r="C47" s="375"/>
      <c r="D47" s="375"/>
      <c r="E47" s="375"/>
      <c r="F47" s="397"/>
      <c r="G47" s="376"/>
      <c r="H47" s="397"/>
      <c r="I47" s="376"/>
      <c r="J47" s="397"/>
      <c r="K47" s="376"/>
      <c r="L47" s="379"/>
      <c r="M47" s="855">
        <f t="shared" si="0"/>
        <v>0</v>
      </c>
    </row>
    <row r="48" spans="2:13" ht="21" customHeight="1">
      <c r="B48" s="286"/>
      <c r="C48" s="286"/>
      <c r="D48" s="151" t="s">
        <v>3538</v>
      </c>
      <c r="E48" s="286"/>
      <c r="F48" s="322" t="s">
        <v>482</v>
      </c>
      <c r="G48" s="160">
        <f>SUM(G10:G47)</f>
        <v>2842145.7200000007</v>
      </c>
      <c r="H48" s="322" t="s">
        <v>482</v>
      </c>
      <c r="I48" s="160">
        <f>SUM(I10:I47)</f>
        <v>8873567.6899999995</v>
      </c>
      <c r="J48" s="322" t="s">
        <v>482</v>
      </c>
      <c r="K48" s="160">
        <f>SUM(K10:K47)</f>
        <v>8562204.4100000001</v>
      </c>
      <c r="L48" s="322" t="s">
        <v>482</v>
      </c>
      <c r="M48" s="855">
        <f>SUM(M10:M47)</f>
        <v>3153509</v>
      </c>
    </row>
    <row r="50" spans="2:13" ht="13.8">
      <c r="B50" s="1573" t="s">
        <v>3541</v>
      </c>
      <c r="C50" s="1573"/>
      <c r="D50" s="1573"/>
      <c r="E50" s="1573"/>
      <c r="F50" s="1573"/>
      <c r="G50" s="1573"/>
      <c r="H50" s="1573"/>
      <c r="I50" s="1573"/>
      <c r="J50" s="1573"/>
      <c r="K50" s="1573"/>
      <c r="L50" s="1573"/>
      <c r="M50" s="1573"/>
    </row>
    <row r="52" spans="2:13">
      <c r="G52" s="325"/>
      <c r="M52" s="325"/>
    </row>
  </sheetData>
  <sheetProtection algorithmName="SHA-512" hashValue="CEJNibRcpyNP0q5qaEn9GyrQUb3E9oJRGQHMJuS1r1PPTR7Zx7cjKvbds9AlMQEfMOjXe7UsZx/pDafsqpTo0Q==" saltValue="AvmBx/HBpYGsR2MiLHriPg==" spinCount="100000" sheet="1" scenarios="1"/>
  <customSheetViews>
    <customSheetView guid="{AC653BD0-46E3-42CB-9C76-32121A57B65A}" state="hidden" topLeftCell="A4">
      <selection activeCell="B1" sqref="B1"/>
      <pageMargins left="0.25" right="0.25" top="0.5" bottom="0.5" header="0.25" footer="0.25"/>
      <pageSetup paperSize="5" scale="98" orientation="portrait" r:id="rId1"/>
      <headerFooter alignWithMargins="0"/>
    </customSheetView>
    <customSheetView guid="{B165479B-DC25-403C-9595-F1A88A4AA9A2}" state="hidden" topLeftCell="A4">
      <selection activeCell="B1" sqref="B1"/>
      <pageMargins left="0.25" right="0.25" top="0.5" bottom="0.5" header="0.25" footer="0.25"/>
      <pageSetup paperSize="5" scale="98" orientation="portrait" r:id="rId2"/>
      <headerFooter alignWithMargins="0"/>
    </customSheetView>
    <customSheetView guid="{A64E4C9E-A3DA-4AAA-8607-F524450B9436}" state="hidden" topLeftCell="A4">
      <selection activeCell="B1" sqref="B1"/>
      <pageMargins left="0.25" right="0.25" top="0.5" bottom="0.5" header="0.25" footer="0.25"/>
      <pageSetup paperSize="5" scale="98" orientation="portrait" r:id="rId3"/>
      <headerFooter alignWithMargins="0"/>
    </customSheetView>
    <customSheetView guid="{AB4FBD91-4533-473A-9702-569FF6402073}" state="hidden" topLeftCell="A4">
      <selection activeCell="B1" sqref="B1"/>
      <pageMargins left="0.25" right="0.25" top="0.5" bottom="0.5" header="0.25" footer="0.25"/>
      <pageSetup paperSize="5" scale="98" orientation="portrait" r:id="rId4"/>
      <headerFooter alignWithMargins="0"/>
    </customSheetView>
  </customSheetViews>
  <mergeCells count="6">
    <mergeCell ref="B50:M50"/>
    <mergeCell ref="B2:M2"/>
    <mergeCell ref="B3:M3"/>
    <mergeCell ref="B5:D5"/>
    <mergeCell ref="B6:D6"/>
    <mergeCell ref="B8:D8"/>
  </mergeCells>
  <pageMargins left="0.25" right="0.25" top="0.5" bottom="0.5" header="0.25" footer="0.25"/>
  <pageSetup paperSize="5" scale="98" orientation="portrait" r:id="rId5"/>
  <headerFooter alignWithMargins="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39">
    <tabColor theme="2" tint="-0.249977111117893"/>
  </sheetPr>
  <dimension ref="A1:R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5.88671875" style="331" customWidth="1"/>
    <col min="5" max="6" width="15.6640625" style="331" customWidth="1"/>
    <col min="7" max="9" width="30.6640625" style="331" customWidth="1"/>
    <col min="10" max="16384" width="9.109375" style="331"/>
  </cols>
  <sheetData>
    <row r="1" spans="1:18">
      <c r="B1" s="1146"/>
      <c r="C1" s="1146"/>
      <c r="D1" s="1146"/>
      <c r="E1" s="1146"/>
      <c r="F1" s="1146"/>
      <c r="G1" s="1146"/>
      <c r="H1" s="1146"/>
      <c r="I1" s="1146"/>
    </row>
    <row r="2" spans="1:18" ht="20.399999999999999">
      <c r="B2" s="1788" t="str">
        <f>"SCHEDULE  OF  CAPITAL  LEASE  PROGRAM  OBLIGATIONS "&amp;UPPER('KEY INPUTS'!D55)&amp;"  UTILITY"</f>
        <v>SCHEDULE  OF  CAPITAL  LEASE  PROGRAM  OBLIGATIONS   UTILITY</v>
      </c>
      <c r="C2" s="1788"/>
      <c r="D2" s="1788"/>
      <c r="E2" s="1788"/>
      <c r="F2" s="1788"/>
      <c r="G2" s="1788"/>
      <c r="H2" s="1788"/>
      <c r="I2" s="1788"/>
    </row>
    <row r="3" spans="1:18" ht="21" thickBot="1">
      <c r="B3" s="1870"/>
      <c r="C3" s="1870"/>
      <c r="D3" s="1870"/>
      <c r="E3" s="1870"/>
      <c r="F3" s="1870"/>
      <c r="G3" s="1870"/>
      <c r="H3" s="1870"/>
      <c r="I3" s="1870"/>
    </row>
    <row r="4" spans="1:18" ht="13.5" customHeight="1" thickTop="1">
      <c r="B4" s="1943"/>
      <c r="C4" s="1943"/>
      <c r="D4" s="1943"/>
      <c r="E4" s="1943"/>
      <c r="F4" s="1944"/>
      <c r="G4" s="1363"/>
      <c r="H4" s="1142"/>
      <c r="I4" s="1267"/>
    </row>
    <row r="5" spans="1:18" ht="13.5" customHeight="1">
      <c r="B5" s="1146"/>
      <c r="C5" s="1146"/>
      <c r="D5" s="1146"/>
      <c r="E5" s="1141"/>
      <c r="F5" s="1141"/>
      <c r="G5" s="1151" t="s">
        <v>533</v>
      </c>
      <c r="H5" s="1945" t="str">
        <f>'KEY INPUTS'!D34+1&amp;" Budget Requirements"</f>
        <v>2020 Budget Requirements</v>
      </c>
      <c r="I5" s="1946"/>
      <c r="J5" s="774"/>
    </row>
    <row r="6" spans="1:18" ht="13.5" customHeight="1">
      <c r="B6" s="1146"/>
      <c r="C6" s="1787" t="s">
        <v>532</v>
      </c>
      <c r="D6" s="1787"/>
      <c r="E6" s="1141"/>
      <c r="F6" s="1141"/>
      <c r="G6" s="1151" t="s">
        <v>549</v>
      </c>
      <c r="H6" s="1947"/>
      <c r="I6" s="1948"/>
      <c r="J6" s="774"/>
    </row>
    <row r="7" spans="1:18" ht="13.5" customHeight="1">
      <c r="B7" s="1146"/>
      <c r="C7" s="1146"/>
      <c r="D7" s="1146"/>
      <c r="E7" s="1141"/>
      <c r="F7" s="1271"/>
      <c r="G7" s="1272" t="str">
        <f>'KEY INPUTS'!D46</f>
        <v>Dec. 31, 2019</v>
      </c>
      <c r="H7" s="1147" t="s">
        <v>3449</v>
      </c>
      <c r="I7" s="1149" t="s">
        <v>550</v>
      </c>
      <c r="L7" s="322"/>
      <c r="M7" s="322"/>
      <c r="N7" s="322"/>
      <c r="O7" s="322"/>
      <c r="P7" s="322"/>
      <c r="Q7" s="322"/>
      <c r="R7" s="322"/>
    </row>
    <row r="8" spans="1:18" ht="13.5" customHeight="1" thickBot="1">
      <c r="B8" s="1153"/>
      <c r="C8" s="1153"/>
      <c r="D8" s="1153"/>
      <c r="E8" s="1153"/>
      <c r="F8" s="1273"/>
      <c r="G8" s="1274"/>
      <c r="H8" s="1155"/>
      <c r="I8" s="1275"/>
      <c r="L8" s="322"/>
      <c r="M8" s="322"/>
      <c r="N8" s="322"/>
      <c r="O8" s="322"/>
      <c r="P8" s="322"/>
      <c r="Q8" s="322"/>
      <c r="R8" s="322"/>
    </row>
    <row r="9" spans="1:18" ht="21" customHeight="1" thickTop="1">
      <c r="B9" s="1874"/>
      <c r="C9" s="1874"/>
      <c r="D9" s="1874"/>
      <c r="E9" s="1874"/>
      <c r="F9" s="1875"/>
      <c r="G9" s="801"/>
      <c r="H9" s="605"/>
      <c r="I9" s="802"/>
      <c r="L9" s="377"/>
      <c r="M9" s="322"/>
      <c r="N9" s="322"/>
      <c r="O9" s="322"/>
      <c r="P9" s="322"/>
      <c r="Q9" s="322"/>
      <c r="R9" s="322"/>
    </row>
    <row r="10" spans="1:18" ht="21" customHeight="1">
      <c r="B10" s="1876"/>
      <c r="C10" s="1876"/>
      <c r="D10" s="1876"/>
      <c r="E10" s="1876"/>
      <c r="F10" s="1877"/>
      <c r="G10" s="631"/>
      <c r="H10" s="601"/>
      <c r="I10" s="602"/>
      <c r="L10" s="322"/>
      <c r="M10" s="322"/>
      <c r="N10" s="322"/>
      <c r="O10" s="322"/>
      <c r="P10" s="322"/>
      <c r="Q10" s="322"/>
      <c r="R10" s="322"/>
    </row>
    <row r="11" spans="1:18" ht="21" customHeight="1">
      <c r="B11" s="1876"/>
      <c r="C11" s="1876"/>
      <c r="D11" s="1876"/>
      <c r="E11" s="1876"/>
      <c r="F11" s="1877"/>
      <c r="G11" s="631"/>
      <c r="H11" s="601"/>
      <c r="I11" s="602"/>
      <c r="L11" s="322"/>
      <c r="M11" s="322"/>
      <c r="N11" s="322"/>
      <c r="O11" s="322"/>
      <c r="P11" s="322"/>
      <c r="Q11" s="322"/>
      <c r="R11" s="322"/>
    </row>
    <row r="12" spans="1:18" ht="21" customHeight="1">
      <c r="B12" s="1876"/>
      <c r="C12" s="1876"/>
      <c r="D12" s="1876"/>
      <c r="E12" s="1876"/>
      <c r="F12" s="1877"/>
      <c r="G12" s="631"/>
      <c r="H12" s="601"/>
      <c r="I12" s="602"/>
      <c r="L12" s="322"/>
      <c r="M12" s="322"/>
      <c r="N12" s="322"/>
      <c r="O12" s="322"/>
      <c r="P12" s="322"/>
      <c r="Q12" s="322"/>
      <c r="R12" s="322"/>
    </row>
    <row r="13" spans="1:18" ht="21" customHeight="1">
      <c r="B13" s="1876"/>
      <c r="C13" s="1876"/>
      <c r="D13" s="1876"/>
      <c r="E13" s="1876"/>
      <c r="F13" s="1877"/>
      <c r="G13" s="631"/>
      <c r="H13" s="601"/>
      <c r="I13" s="602"/>
      <c r="L13" s="322"/>
      <c r="M13" s="322"/>
      <c r="N13" s="322"/>
      <c r="O13" s="322"/>
      <c r="P13" s="322"/>
      <c r="Q13" s="322"/>
      <c r="R13" s="322"/>
    </row>
    <row r="14" spans="1:18" ht="21" customHeight="1">
      <c r="B14" s="1876"/>
      <c r="C14" s="1876"/>
      <c r="D14" s="1876"/>
      <c r="E14" s="1876"/>
      <c r="F14" s="1877"/>
      <c r="G14" s="632"/>
      <c r="H14" s="601"/>
      <c r="I14" s="602"/>
      <c r="L14" s="322"/>
      <c r="M14" s="322"/>
      <c r="N14" s="322"/>
      <c r="O14" s="322"/>
      <c r="P14" s="322"/>
      <c r="Q14" s="322"/>
      <c r="R14" s="322"/>
    </row>
    <row r="15" spans="1:18" ht="21" customHeight="1">
      <c r="A15" s="1792" t="s">
        <v>3448</v>
      </c>
      <c r="B15" s="1876"/>
      <c r="C15" s="1876"/>
      <c r="D15" s="1876"/>
      <c r="E15" s="1876"/>
      <c r="F15" s="1877"/>
      <c r="G15" s="631"/>
      <c r="H15" s="601"/>
      <c r="I15" s="602"/>
      <c r="L15" s="322"/>
      <c r="M15" s="322"/>
      <c r="N15" s="322"/>
      <c r="O15" s="322"/>
      <c r="P15" s="322"/>
      <c r="Q15" s="322"/>
      <c r="R15" s="322"/>
    </row>
    <row r="16" spans="1:18" ht="21" customHeight="1">
      <c r="A16" s="1792"/>
      <c r="B16" s="1876"/>
      <c r="C16" s="1876"/>
      <c r="D16" s="1876"/>
      <c r="E16" s="1876"/>
      <c r="F16" s="1877"/>
      <c r="G16" s="631"/>
      <c r="H16" s="601"/>
      <c r="I16" s="602"/>
      <c r="L16" s="322"/>
      <c r="M16" s="322"/>
      <c r="N16" s="322"/>
      <c r="O16" s="322"/>
      <c r="P16" s="322"/>
      <c r="Q16" s="322"/>
      <c r="R16" s="322"/>
    </row>
    <row r="17" spans="1:18" ht="21" customHeight="1">
      <c r="A17" s="1792"/>
      <c r="B17" s="1876"/>
      <c r="C17" s="1876"/>
      <c r="D17" s="1876"/>
      <c r="E17" s="1876"/>
      <c r="F17" s="1877"/>
      <c r="G17" s="631"/>
      <c r="H17" s="601"/>
      <c r="I17" s="602"/>
      <c r="L17" s="322"/>
      <c r="M17" s="322"/>
      <c r="N17" s="322"/>
      <c r="O17" s="322"/>
      <c r="P17" s="322"/>
      <c r="Q17" s="322"/>
      <c r="R17" s="322"/>
    </row>
    <row r="18" spans="1:18" ht="21" customHeight="1">
      <c r="A18" s="545"/>
      <c r="B18" s="1876"/>
      <c r="C18" s="1876"/>
      <c r="D18" s="1876"/>
      <c r="E18" s="1876"/>
      <c r="F18" s="1877"/>
      <c r="G18" s="631"/>
      <c r="H18" s="601"/>
      <c r="I18" s="602"/>
      <c r="L18" s="322"/>
      <c r="M18" s="322"/>
      <c r="N18" s="322"/>
      <c r="O18" s="322"/>
      <c r="P18" s="322"/>
      <c r="Q18" s="322"/>
      <c r="R18" s="322"/>
    </row>
    <row r="19" spans="1:18" ht="21" customHeight="1">
      <c r="B19" s="1876"/>
      <c r="C19" s="1876"/>
      <c r="D19" s="1876"/>
      <c r="E19" s="1876"/>
      <c r="F19" s="1877"/>
      <c r="G19" s="631"/>
      <c r="H19" s="601"/>
      <c r="I19" s="602"/>
      <c r="L19" s="322"/>
      <c r="M19" s="322"/>
      <c r="N19" s="322"/>
      <c r="O19" s="322"/>
      <c r="P19" s="322"/>
      <c r="Q19" s="322"/>
      <c r="R19" s="322"/>
    </row>
    <row r="20" spans="1:18" ht="21" customHeight="1">
      <c r="B20" s="1876"/>
      <c r="C20" s="1876"/>
      <c r="D20" s="1876"/>
      <c r="E20" s="1876"/>
      <c r="F20" s="1877"/>
      <c r="G20" s="631"/>
      <c r="H20" s="601"/>
      <c r="I20" s="602"/>
      <c r="L20" s="322"/>
      <c r="M20" s="322"/>
      <c r="N20" s="322"/>
      <c r="O20" s="322"/>
      <c r="P20" s="322"/>
      <c r="Q20" s="322"/>
      <c r="R20" s="322"/>
    </row>
    <row r="21" spans="1:18" ht="21" customHeight="1">
      <c r="B21" s="1876"/>
      <c r="C21" s="1876"/>
      <c r="D21" s="1876"/>
      <c r="E21" s="1876"/>
      <c r="F21" s="1877"/>
      <c r="G21" s="631"/>
      <c r="H21" s="601"/>
      <c r="I21" s="602"/>
      <c r="L21" s="322"/>
      <c r="M21" s="322"/>
      <c r="N21" s="322"/>
      <c r="O21" s="322"/>
      <c r="P21" s="322"/>
      <c r="Q21" s="322"/>
      <c r="R21" s="322"/>
    </row>
    <row r="22" spans="1:18" ht="21" customHeight="1" thickBot="1">
      <c r="B22" s="1876"/>
      <c r="C22" s="1876"/>
      <c r="D22" s="1876"/>
      <c r="E22" s="1876"/>
      <c r="F22" s="1877"/>
      <c r="G22" s="633"/>
      <c r="H22" s="627"/>
      <c r="I22" s="634"/>
      <c r="L22" s="322"/>
      <c r="M22" s="322"/>
      <c r="N22" s="322"/>
      <c r="O22" s="322"/>
      <c r="P22" s="322"/>
      <c r="Q22" s="322"/>
      <c r="R22" s="322"/>
    </row>
    <row r="23" spans="1:18" ht="21" customHeight="1" thickTop="1" thickBot="1">
      <c r="B23" s="1256"/>
      <c r="C23" s="1162"/>
      <c r="D23" s="1373" t="s">
        <v>174</v>
      </c>
      <c r="E23" s="1059"/>
      <c r="F23" s="1273"/>
      <c r="G23" s="1374">
        <f>SUM(G9:G22)</f>
        <v>0</v>
      </c>
      <c r="H23" s="1083">
        <f>SUM(H9:H22)</f>
        <v>0</v>
      </c>
      <c r="I23" s="1161">
        <f>SUM(I9:I22)</f>
        <v>0</v>
      </c>
      <c r="L23" s="322"/>
      <c r="M23" s="322"/>
      <c r="N23" s="322"/>
      <c r="O23" s="322"/>
      <c r="P23" s="322"/>
      <c r="Q23" s="322"/>
      <c r="R23" s="322"/>
    </row>
    <row r="24" spans="1:18" ht="13.5" customHeight="1" thickTop="1">
      <c r="B24" s="803"/>
      <c r="C24" s="411"/>
      <c r="D24" s="804"/>
      <c r="H24" s="504"/>
      <c r="I24" s="504"/>
    </row>
    <row r="25" spans="1:18" ht="13.5" customHeight="1">
      <c r="B25" s="803"/>
      <c r="C25" s="411"/>
      <c r="D25" s="804"/>
    </row>
    <row r="26" spans="1:18" ht="13.5" customHeight="1">
      <c r="B26" s="803"/>
      <c r="C26" s="411"/>
      <c r="D26" s="804"/>
      <c r="H26" s="800"/>
    </row>
    <row r="27" spans="1:18">
      <c r="B27" s="541"/>
      <c r="C27" s="411"/>
      <c r="D27" s="411"/>
    </row>
  </sheetData>
  <sheetProtection algorithmName="SHA-512" hashValue="iHmJBpvkqLsrrCcPLDYKc0mSRwKx3Xqd9lfNHiQcYmnoIXuX0l1NshO4uH8x9yn8/ENYTDjajZgRwLo4WRsstw==" saltValue="qJ/443a6MdVxE4JEme+z2w=="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20">
    <mergeCell ref="B18:F18"/>
    <mergeCell ref="B19:F19"/>
    <mergeCell ref="B20:F20"/>
    <mergeCell ref="B21:F21"/>
    <mergeCell ref="B22:F22"/>
    <mergeCell ref="A15:A17"/>
    <mergeCell ref="B2:I2"/>
    <mergeCell ref="B3:I3"/>
    <mergeCell ref="B4:F4"/>
    <mergeCell ref="H5:I6"/>
    <mergeCell ref="C6:D6"/>
    <mergeCell ref="B9:F9"/>
    <mergeCell ref="B10:F10"/>
    <mergeCell ref="B11:F11"/>
    <mergeCell ref="B12:F12"/>
    <mergeCell ref="B13:F13"/>
    <mergeCell ref="B14:F14"/>
    <mergeCell ref="B15:F15"/>
    <mergeCell ref="B16:F16"/>
    <mergeCell ref="B17:F17"/>
  </mergeCells>
  <pageMargins left="0.25" right="0.25" top="0.5" bottom="0.5" header="0.25" footer="0.25"/>
  <pageSetup paperSize="5" orientation="landscape" r:id="rId5"/>
  <headerFooter alignWithMargins="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0">
    <tabColor theme="2" tint="-0.249977111117893"/>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INPUTS'!D55)&amp;"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701"/>
      <c r="C9" s="673"/>
      <c r="D9" s="676"/>
      <c r="E9" s="618"/>
      <c r="F9" s="618"/>
      <c r="G9" s="618"/>
      <c r="H9" s="618"/>
      <c r="I9" s="618"/>
      <c r="J9" s="618"/>
      <c r="K9" s="618"/>
      <c r="L9" s="630"/>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3450</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544"/>
      <c r="C27" s="413"/>
      <c r="D27" s="514" t="s">
        <v>3655</v>
      </c>
      <c r="E27" s="137">
        <f t="shared" ref="E27:L27" si="0">SUM(E9:E26)</f>
        <v>0</v>
      </c>
      <c r="F27" s="137">
        <f t="shared" si="0"/>
        <v>0</v>
      </c>
      <c r="G27" s="137">
        <f t="shared" si="0"/>
        <v>0</v>
      </c>
      <c r="H27" s="137">
        <f t="shared" si="0"/>
        <v>0</v>
      </c>
      <c r="I27" s="137">
        <f t="shared" si="0"/>
        <v>0</v>
      </c>
      <c r="J27" s="137">
        <f t="shared" si="0"/>
        <v>0</v>
      </c>
      <c r="K27" s="137">
        <f t="shared" si="0"/>
        <v>0</v>
      </c>
      <c r="L27" s="157">
        <f t="shared" si="0"/>
        <v>0</v>
      </c>
    </row>
    <row r="28" spans="1:21" ht="13.5" customHeight="1" thickTop="1">
      <c r="B28" s="549"/>
      <c r="C28" s="548" t="s">
        <v>663</v>
      </c>
      <c r="D28" s="547"/>
      <c r="E28" s="510"/>
      <c r="F28" s="510"/>
      <c r="G28" s="510"/>
      <c r="H28" s="510"/>
      <c r="I28" s="510"/>
      <c r="J28" s="510"/>
      <c r="K28" s="543"/>
      <c r="L28" s="543"/>
    </row>
    <row r="42" spans="11:12">
      <c r="K42" s="331" t="s">
        <v>3492</v>
      </c>
      <c r="L42" s="553">
        <f>K27+L27</f>
        <v>0</v>
      </c>
    </row>
  </sheetData>
  <sheetProtection algorithmName="SHA-512" hashValue="cjvjimqVum9xhxrKpJKHRJa4Id6PpTGMbDvrm82GRxXq+5R+fLkN9o8sl4rbwm3OrrGodNbOy6MIVhYD/J/MsQ==" saltValue="onmIxKAhBLdPfwYguUY/Hw=="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1">
    <tabColor theme="2" tint="-0.249977111117893"/>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INPUTS'!D55)&amp;"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+'52-Utility4'!E27</f>
        <v>0</v>
      </c>
      <c r="F9" s="1277">
        <f>+'52-Utility4'!F27</f>
        <v>0</v>
      </c>
      <c r="G9" s="1277">
        <f>+'52-Utility4'!G27</f>
        <v>0</v>
      </c>
      <c r="H9" s="1277">
        <f>+'52-Utility4'!H27</f>
        <v>0</v>
      </c>
      <c r="I9" s="1277">
        <f>+'52-Utility4'!I27</f>
        <v>0</v>
      </c>
      <c r="J9" s="1277">
        <f>+'52-Utility4'!J27</f>
        <v>0</v>
      </c>
      <c r="K9" s="1277">
        <f>+'52-Utility4'!K27</f>
        <v>0</v>
      </c>
      <c r="L9" s="1281">
        <f>+'52-Utility4'!L27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3651</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algorithmName="SHA-512" hashValue="f84hSr1NOBKAgxtEHVVa/AKHKgZ7m/TG2lEaR8KL4guDlp7EXmRMs6TlvHd48aVVoxWwdU1WY5yFy4bASeCf4A==" saltValue="6f2rh/n2XzRYZKnNe6ZYBg==" spinCount="100000"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2">
    <tabColor theme="2" tint="-0.249977111117893"/>
  </sheetPr>
  <dimension ref="A1:U42"/>
  <sheetViews>
    <sheetView topLeftCell="B1"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INPUTS'!D55)&amp;"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3660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+'52.1-Utility4'!E27</f>
        <v>0</v>
      </c>
      <c r="F9" s="1277">
        <f>+'52.1-Utility4'!F27</f>
        <v>0</v>
      </c>
      <c r="G9" s="1277">
        <f>+'52.1-Utility4'!G27</f>
        <v>0</v>
      </c>
      <c r="H9" s="1277">
        <f>+'52.1-Utility4'!H27</f>
        <v>0</v>
      </c>
      <c r="I9" s="1277">
        <f>+'52.1-Utility4'!I27</f>
        <v>0</v>
      </c>
      <c r="J9" s="1277">
        <f>+'52.1-Utility4'!J27</f>
        <v>0</v>
      </c>
      <c r="K9" s="1277">
        <f>+'52.1-Utility4'!K27</f>
        <v>0</v>
      </c>
      <c r="L9" s="1281">
        <f>+'52.1-Utility4'!L27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3652</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algorithmName="SHA-512" hashValue="0GkAf6qEYNjYJqFpm4tKK8OdvkgxxLE2bF/Qa0OC5BMCfU3q/rX7pYCWo9OX7e+wz3tQvIV7ypf39QpPqZ0ObA==" saltValue="3MiSHYuGdHRVc5b8S+zVZA==" spinCount="100000" sheet="1" objects="1" scenarios="1"/>
  <customSheetViews>
    <customSheetView guid="{AC653BD0-46E3-42CB-9C76-32121A57B65A}" state="hidden" topLeftCell="B1">
      <selection activeCell="B1" sqref="B1"/>
      <pageMargins left="0.25" right="0.25" top="0.5" bottom="0.5" header="0.25" footer="0.25"/>
      <pageSetup paperSize="5" orientation="landscape" r:id="rId1"/>
      <headerFooter alignWithMargins="0"/>
    </customSheetView>
    <customSheetView guid="{B165479B-DC25-403C-9595-F1A88A4AA9A2}" state="hidden" topLeftCell="B1">
      <selection activeCell="B1" sqref="B1"/>
      <pageMargins left="0.25" right="0.25" top="0.5" bottom="0.5" header="0.25" footer="0.25"/>
      <pageSetup paperSize="5" orientation="landscape" r:id="rId2"/>
      <headerFooter alignWithMargins="0"/>
    </customSheetView>
    <customSheetView guid="{A64E4C9E-A3DA-4AAA-8607-F524450B9436}" state="hidden" topLeftCell="B1">
      <selection activeCell="B1" sqref="B1"/>
      <pageMargins left="0.25" right="0.25" top="0.5" bottom="0.5" header="0.25" footer="0.25"/>
      <pageSetup paperSize="5" orientation="landscape" r:id="rId3"/>
      <headerFooter alignWithMargins="0"/>
    </customSheetView>
    <customSheetView guid="{AB4FBD91-4533-473A-9702-569FF6402073}" state="hidden" topLeftCell="B1">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3">
    <tabColor theme="2" tint="-0.249977111117893"/>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INPUTS'!D55)&amp;"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+'52.2-Utility4'!E27</f>
        <v>0</v>
      </c>
      <c r="F9" s="1277">
        <f>+'52.2-Utility4'!F27</f>
        <v>0</v>
      </c>
      <c r="G9" s="1277">
        <f>+'52.2-Utility4'!G27</f>
        <v>0</v>
      </c>
      <c r="H9" s="1277">
        <f>+'52.2-Utility4'!H27</f>
        <v>0</v>
      </c>
      <c r="I9" s="1277">
        <f>+'52.2-Utility4'!I27</f>
        <v>0</v>
      </c>
      <c r="J9" s="1277">
        <f>+'52.2-Utility4'!J27</f>
        <v>0</v>
      </c>
      <c r="K9" s="1277">
        <f>+'52.2-Utility4'!K27</f>
        <v>0</v>
      </c>
      <c r="L9" s="1281">
        <f>+'52.2-Utility4'!L27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3653</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algorithmName="SHA-512" hashValue="WRPsSiEWSmRaPsVIbO5UW8dHh2QAmBVW9COcwDdsRutEvD7ioPcvDHhZI/j9jKnCYSD/mNtXHw4PX3MM6LzItQ==" saltValue="Zeut7hA2cBIGhDoXUxE2BA==" spinCount="100000"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4">
    <tabColor theme="2" tint="-0.249977111117893"/>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INPUTS'!D55)&amp;"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78" t="s">
        <v>3546</v>
      </c>
      <c r="C9" s="1279"/>
      <c r="D9" s="1280"/>
      <c r="E9" s="1277">
        <f>+'52.3-Utility4'!E27</f>
        <v>0</v>
      </c>
      <c r="F9" s="1277">
        <f>+'52.3-Utility4'!F27</f>
        <v>0</v>
      </c>
      <c r="G9" s="1277">
        <f>+'52.3-Utility4'!G27</f>
        <v>0</v>
      </c>
      <c r="H9" s="1277">
        <f>+'52.3-Utility4'!H27</f>
        <v>0</v>
      </c>
      <c r="I9" s="1277">
        <f>+'52.3-Utility4'!I27</f>
        <v>0</v>
      </c>
      <c r="J9" s="1277">
        <f>+'52.3-Utility4'!J27</f>
        <v>0</v>
      </c>
      <c r="K9" s="1277">
        <f>+'52.3-Utility4'!K27</f>
        <v>0</v>
      </c>
      <c r="L9" s="1281">
        <f>+'52.3-Utility4'!L27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3656</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1000</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algorithmName="SHA-512" hashValue="yIbTDA4cqUXeqGrAc6FEC5CnLxlIVV0gN+cBwbSkEXp8I8AafHT3hdImu8KxnMtvFIgqV78ad+s7U1FEd4I7Fw==" saltValue="nHX8jhBH4BL40EV9spdyqA=="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5">
    <tabColor theme="2" tint="-0.249977111117893"/>
  </sheetPr>
  <dimension ref="B1:S54"/>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6" width="9.109375" style="331"/>
    <col min="7" max="7" width="14.44140625" style="331" customWidth="1"/>
    <col min="8" max="8" width="15" style="331" customWidth="1"/>
    <col min="9" max="10" width="16.6640625" style="331" customWidth="1"/>
    <col min="11" max="16384" width="9.109375" style="331"/>
  </cols>
  <sheetData>
    <row r="1" spans="2:19">
      <c r="B1" s="1146"/>
      <c r="C1" s="1146"/>
      <c r="D1" s="1146"/>
      <c r="E1" s="1146"/>
      <c r="F1" s="1146"/>
      <c r="G1" s="1146"/>
      <c r="H1" s="1146"/>
      <c r="I1" s="1146"/>
      <c r="J1" s="1146"/>
    </row>
    <row r="2" spans="2:19">
      <c r="B2" s="1146"/>
      <c r="C2" s="1146"/>
      <c r="D2" s="1146"/>
      <c r="E2" s="1146"/>
      <c r="F2" s="1146"/>
      <c r="G2" s="1146"/>
      <c r="H2" s="1146"/>
      <c r="I2" s="1146"/>
      <c r="J2" s="1146"/>
    </row>
    <row r="3" spans="2:19" ht="22.8">
      <c r="B3" s="1759" t="str">
        <f>UPPER('KEY INPUTS'!D$55)&amp;" UTILITY  CAPITAL  FUND"</f>
        <v xml:space="preserve"> UTILITY  CAPITAL  FUND</v>
      </c>
      <c r="C3" s="1759"/>
      <c r="D3" s="1759"/>
      <c r="E3" s="1759"/>
      <c r="F3" s="1759"/>
      <c r="G3" s="1759"/>
      <c r="H3" s="1759"/>
      <c r="I3" s="1759"/>
      <c r="J3" s="1759"/>
    </row>
    <row r="4" spans="2:19">
      <c r="B4" s="1146"/>
      <c r="C4" s="1146"/>
      <c r="D4" s="1146"/>
      <c r="E4" s="1146"/>
      <c r="F4" s="1146"/>
      <c r="G4" s="1146"/>
      <c r="H4" s="1146"/>
      <c r="I4" s="1146"/>
      <c r="J4" s="1146"/>
    </row>
    <row r="5" spans="2:19" ht="15.6">
      <c r="B5" s="1783" t="s">
        <v>667</v>
      </c>
      <c r="C5" s="1783"/>
      <c r="D5" s="1783"/>
      <c r="E5" s="1783"/>
      <c r="F5" s="1783"/>
      <c r="G5" s="1783"/>
      <c r="H5" s="1783"/>
      <c r="I5" s="1783"/>
      <c r="J5" s="1783"/>
    </row>
    <row r="6" spans="2:19" ht="13.8" thickBot="1">
      <c r="B6" s="1146"/>
      <c r="C6" s="1146"/>
      <c r="D6" s="1146"/>
      <c r="E6" s="1146"/>
      <c r="F6" s="1146"/>
      <c r="G6" s="1146"/>
      <c r="H6" s="1146"/>
      <c r="I6" s="1146"/>
      <c r="J6" s="1146"/>
    </row>
    <row r="7" spans="2:19" ht="28.5" customHeight="1" thickTop="1" thickBot="1">
      <c r="B7" s="1388"/>
      <c r="C7" s="1388"/>
      <c r="D7" s="1388"/>
      <c r="E7" s="1388"/>
      <c r="F7" s="1388"/>
      <c r="G7" s="1388"/>
      <c r="H7" s="1388"/>
      <c r="I7" s="1134" t="s">
        <v>125</v>
      </c>
      <c r="J7" s="1135" t="s">
        <v>126</v>
      </c>
    </row>
    <row r="8" spans="2:19" ht="21" customHeight="1" thickTop="1">
      <c r="B8" s="1158" t="str">
        <f>'KEY INPUTS'!D25</f>
        <v>Balance - January 1, 2019</v>
      </c>
      <c r="C8" s="1158"/>
      <c r="D8" s="1158"/>
      <c r="E8" s="1158"/>
      <c r="F8" s="1158"/>
      <c r="G8" s="1158"/>
      <c r="H8" s="1400"/>
      <c r="I8" s="1088" t="s">
        <v>787</v>
      </c>
      <c r="J8" s="639"/>
    </row>
    <row r="9" spans="2:19" ht="21" customHeight="1">
      <c r="B9" s="1139" t="str">
        <f>"Received from "&amp;'KEY INPUTS'!D34&amp;" Budget Appropriation"</f>
        <v>Received from 2019 Budget Appropriation</v>
      </c>
      <c r="C9" s="1139"/>
      <c r="D9" s="1139"/>
      <c r="E9" s="1139"/>
      <c r="F9" s="1139"/>
      <c r="G9" s="1139"/>
      <c r="H9" s="1401"/>
      <c r="I9" s="973" t="s">
        <v>787</v>
      </c>
      <c r="J9" s="609"/>
      <c r="M9" s="322"/>
      <c r="N9" s="322"/>
      <c r="O9" s="322"/>
      <c r="P9" s="322"/>
      <c r="Q9" s="322"/>
      <c r="R9" s="322"/>
      <c r="S9" s="322"/>
    </row>
    <row r="10" spans="2:19" ht="21" customHeight="1">
      <c r="B10" s="648"/>
      <c r="C10" s="648"/>
      <c r="D10" s="648"/>
      <c r="E10" s="648"/>
      <c r="F10" s="648"/>
      <c r="G10" s="648"/>
      <c r="H10" s="648"/>
      <c r="I10" s="973" t="s">
        <v>787</v>
      </c>
      <c r="J10" s="609"/>
      <c r="M10" s="322"/>
      <c r="N10" s="322"/>
      <c r="O10" s="322"/>
      <c r="P10" s="322"/>
      <c r="Q10" s="322"/>
      <c r="R10" s="322"/>
      <c r="S10" s="322"/>
    </row>
    <row r="11" spans="2:19" ht="11.25" customHeight="1">
      <c r="B11" s="1402" t="s">
        <v>224</v>
      </c>
      <c r="C11" s="1403"/>
      <c r="D11" s="1403"/>
      <c r="E11" s="1403"/>
      <c r="F11" s="1403"/>
      <c r="G11" s="1403"/>
      <c r="H11" s="1404"/>
      <c r="I11" s="1906" t="s">
        <v>787</v>
      </c>
      <c r="J11" s="1904"/>
      <c r="M11" s="377"/>
      <c r="N11" s="322"/>
      <c r="O11" s="322"/>
      <c r="P11" s="322"/>
      <c r="Q11" s="322"/>
      <c r="R11" s="322"/>
      <c r="S11" s="322"/>
    </row>
    <row r="12" spans="2:19" ht="12.75" customHeight="1">
      <c r="B12" s="1391"/>
      <c r="C12" s="1405" t="s">
        <v>225</v>
      </c>
      <c r="D12" s="1391"/>
      <c r="E12" s="1391"/>
      <c r="F12" s="1391"/>
      <c r="G12" s="1391"/>
      <c r="H12" s="1406"/>
      <c r="I12" s="1907"/>
      <c r="J12" s="1905"/>
      <c r="M12" s="322"/>
      <c r="N12" s="322"/>
      <c r="O12" s="322"/>
      <c r="P12" s="322"/>
      <c r="Q12" s="322"/>
      <c r="R12" s="322"/>
      <c r="S12" s="322"/>
    </row>
    <row r="13" spans="2:19" ht="21" customHeight="1">
      <c r="B13" s="668"/>
      <c r="C13" s="1282"/>
      <c r="D13" s="668"/>
      <c r="E13" s="668"/>
      <c r="F13" s="668"/>
      <c r="G13" s="668"/>
      <c r="H13" s="668"/>
      <c r="I13" s="683"/>
      <c r="J13" s="376"/>
      <c r="M13" s="322"/>
      <c r="N13" s="322"/>
      <c r="O13" s="322"/>
      <c r="P13" s="322"/>
      <c r="Q13" s="322"/>
      <c r="R13" s="322"/>
      <c r="S13" s="322"/>
    </row>
    <row r="14" spans="2:19" ht="21" customHeight="1">
      <c r="B14" s="1139" t="s">
        <v>226</v>
      </c>
      <c r="C14" s="1139"/>
      <c r="D14" s="1139"/>
      <c r="E14" s="1139"/>
      <c r="F14" s="1139"/>
      <c r="G14" s="1139"/>
      <c r="H14" s="1139"/>
      <c r="I14" s="973" t="s">
        <v>787</v>
      </c>
      <c r="J14" s="977" t="s">
        <v>787</v>
      </c>
      <c r="M14" s="322"/>
      <c r="N14" s="322"/>
      <c r="O14" s="322"/>
      <c r="P14" s="322"/>
      <c r="Q14" s="322"/>
      <c r="R14" s="322"/>
      <c r="S14" s="322"/>
    </row>
    <row r="15" spans="2:19" ht="21" customHeight="1">
      <c r="B15" s="648"/>
      <c r="C15" s="648"/>
      <c r="D15" s="648"/>
      <c r="E15" s="648"/>
      <c r="F15" s="648"/>
      <c r="G15" s="648"/>
      <c r="H15" s="648"/>
      <c r="I15" s="601"/>
      <c r="J15" s="977" t="s">
        <v>787</v>
      </c>
      <c r="M15" s="322"/>
      <c r="N15" s="322"/>
      <c r="O15" s="322"/>
      <c r="P15" s="322"/>
      <c r="Q15" s="322"/>
      <c r="R15" s="322"/>
      <c r="S15" s="322"/>
    </row>
    <row r="16" spans="2:19" ht="21" customHeight="1">
      <c r="B16" s="648"/>
      <c r="C16" s="648"/>
      <c r="D16" s="648"/>
      <c r="E16" s="648"/>
      <c r="F16" s="648"/>
      <c r="G16" s="648"/>
      <c r="H16" s="648"/>
      <c r="I16" s="601"/>
      <c r="J16" s="977" t="s">
        <v>787</v>
      </c>
      <c r="M16" s="322"/>
      <c r="N16" s="322"/>
      <c r="O16" s="322"/>
      <c r="P16" s="322"/>
      <c r="Q16" s="322"/>
      <c r="R16" s="322"/>
      <c r="S16" s="322"/>
    </row>
    <row r="17" spans="2:19" ht="21" customHeight="1">
      <c r="B17" s="648"/>
      <c r="C17" s="648"/>
      <c r="D17" s="648"/>
      <c r="E17" s="648"/>
      <c r="F17" s="648"/>
      <c r="G17" s="648"/>
      <c r="H17" s="648"/>
      <c r="I17" s="601"/>
      <c r="J17" s="977" t="s">
        <v>787</v>
      </c>
      <c r="M17" s="322"/>
      <c r="N17" s="322"/>
      <c r="O17" s="322"/>
      <c r="P17" s="322"/>
      <c r="Q17" s="322"/>
      <c r="R17" s="322"/>
      <c r="S17" s="322"/>
    </row>
    <row r="18" spans="2:19" ht="21" customHeight="1">
      <c r="B18" s="648"/>
      <c r="C18" s="648"/>
      <c r="D18" s="648"/>
      <c r="E18" s="648"/>
      <c r="F18" s="648"/>
      <c r="G18" s="648"/>
      <c r="H18" s="648"/>
      <c r="I18" s="601"/>
      <c r="J18" s="977" t="s">
        <v>787</v>
      </c>
      <c r="M18" s="322"/>
      <c r="N18" s="322"/>
      <c r="O18" s="322"/>
      <c r="P18" s="322"/>
      <c r="Q18" s="322"/>
      <c r="R18" s="322"/>
      <c r="S18" s="322"/>
    </row>
    <row r="19" spans="2:19" ht="21" customHeight="1">
      <c r="B19" s="648"/>
      <c r="C19" s="648"/>
      <c r="D19" s="648"/>
      <c r="E19" s="648"/>
      <c r="F19" s="648"/>
      <c r="G19" s="648"/>
      <c r="H19" s="648"/>
      <c r="I19" s="601"/>
      <c r="J19" s="977" t="s">
        <v>787</v>
      </c>
      <c r="M19" s="322"/>
      <c r="N19" s="322"/>
      <c r="O19" s="322"/>
      <c r="P19" s="322"/>
      <c r="Q19" s="322"/>
      <c r="R19" s="322"/>
      <c r="S19" s="322"/>
    </row>
    <row r="20" spans="2:19" ht="21" customHeight="1">
      <c r="B20" s="648"/>
      <c r="C20" s="648"/>
      <c r="D20" s="648"/>
      <c r="E20" s="648"/>
      <c r="F20" s="648"/>
      <c r="G20" s="648"/>
      <c r="H20" s="648"/>
      <c r="I20" s="601"/>
      <c r="J20" s="977" t="s">
        <v>787</v>
      </c>
      <c r="M20" s="322"/>
      <c r="N20" s="322"/>
      <c r="O20" s="322"/>
      <c r="P20" s="322"/>
      <c r="Q20" s="322"/>
      <c r="R20" s="322"/>
      <c r="S20" s="322"/>
    </row>
    <row r="21" spans="2:19" ht="21" customHeight="1">
      <c r="B21" s="648"/>
      <c r="C21" s="648"/>
      <c r="D21" s="648"/>
      <c r="E21" s="648"/>
      <c r="F21" s="648"/>
      <c r="G21" s="648"/>
      <c r="H21" s="648"/>
      <c r="I21" s="601"/>
      <c r="J21" s="977" t="s">
        <v>787</v>
      </c>
      <c r="M21" s="322"/>
      <c r="N21" s="322"/>
      <c r="O21" s="322"/>
      <c r="P21" s="322"/>
      <c r="Q21" s="322"/>
      <c r="R21" s="322"/>
      <c r="S21" s="322"/>
    </row>
    <row r="22" spans="2:19" ht="21" customHeight="1">
      <c r="B22" s="1139" t="s">
        <v>229</v>
      </c>
      <c r="C22" s="1139"/>
      <c r="D22" s="1139"/>
      <c r="E22" s="1139"/>
      <c r="F22" s="1139"/>
      <c r="G22" s="1139"/>
      <c r="H22" s="1401"/>
      <c r="I22" s="601"/>
      <c r="J22" s="977" t="s">
        <v>787</v>
      </c>
      <c r="M22" s="322"/>
      <c r="N22" s="322"/>
      <c r="O22" s="322"/>
      <c r="P22" s="322"/>
      <c r="Q22" s="322"/>
      <c r="R22" s="322"/>
      <c r="S22" s="322"/>
    </row>
    <row r="23" spans="2:19" ht="21" customHeight="1">
      <c r="B23" s="648"/>
      <c r="C23" s="648"/>
      <c r="D23" s="648"/>
      <c r="E23" s="648"/>
      <c r="F23" s="648"/>
      <c r="G23" s="648"/>
      <c r="H23" s="648"/>
      <c r="I23" s="601"/>
      <c r="J23" s="977" t="s">
        <v>787</v>
      </c>
      <c r="M23" s="322"/>
      <c r="N23" s="322"/>
      <c r="O23" s="322"/>
      <c r="P23" s="322"/>
      <c r="Q23" s="322"/>
      <c r="R23" s="322"/>
      <c r="S23" s="322"/>
    </row>
    <row r="24" spans="2:19" ht="21" customHeight="1" thickBot="1">
      <c r="B24" s="1139" t="str">
        <f>'KEY INPUTS'!D26</f>
        <v>Balance - December 31, 2019</v>
      </c>
      <c r="C24" s="1139"/>
      <c r="D24" s="1139"/>
      <c r="E24" s="1139"/>
      <c r="F24" s="1139"/>
      <c r="G24" s="1139"/>
      <c r="H24" s="1401"/>
      <c r="I24" s="1106">
        <f>+SUM(J8:J13)-SUM(I13:I23)</f>
        <v>0</v>
      </c>
      <c r="J24" s="1104" t="s">
        <v>787</v>
      </c>
      <c r="M24" s="322"/>
      <c r="N24" s="322"/>
      <c r="O24" s="322"/>
      <c r="P24" s="322"/>
      <c r="Q24" s="322"/>
      <c r="R24" s="322"/>
      <c r="S24" s="322"/>
    </row>
    <row r="25" spans="2:19" ht="21" customHeight="1" thickTop="1" thickBot="1">
      <c r="B25" s="1146"/>
      <c r="C25" s="1146"/>
      <c r="D25" s="1146"/>
      <c r="E25" s="1146"/>
      <c r="F25" s="1146"/>
      <c r="G25" s="1146"/>
      <c r="H25" s="1146"/>
      <c r="I25" s="1061">
        <f>SUM(I8:I24)</f>
        <v>0</v>
      </c>
      <c r="J25" s="1107">
        <f>SUM(J8:J24)</f>
        <v>0</v>
      </c>
      <c r="M25" s="322"/>
      <c r="N25" s="322"/>
      <c r="O25" s="322"/>
      <c r="P25" s="322"/>
      <c r="Q25" s="322"/>
      <c r="R25" s="322"/>
      <c r="S25" s="322"/>
    </row>
    <row r="26" spans="2:19" ht="13.8" thickTop="1">
      <c r="B26" s="1146"/>
      <c r="C26" s="1146"/>
      <c r="D26" s="1146"/>
      <c r="E26" s="1146"/>
      <c r="F26" s="1146"/>
      <c r="G26" s="1146"/>
      <c r="H26" s="1146"/>
      <c r="I26" s="1146"/>
      <c r="J26" s="1146"/>
    </row>
    <row r="27" spans="2:19">
      <c r="B27" s="1146"/>
      <c r="C27" s="1146"/>
      <c r="D27" s="1146"/>
      <c r="E27" s="1146"/>
      <c r="F27" s="1146"/>
      <c r="G27" s="1146"/>
      <c r="H27" s="1146"/>
      <c r="I27" s="1146"/>
      <c r="J27" s="1146"/>
    </row>
    <row r="28" spans="2:19">
      <c r="B28" s="1146"/>
      <c r="C28" s="1146"/>
      <c r="D28" s="1146"/>
      <c r="E28" s="1146"/>
      <c r="F28" s="1146"/>
      <c r="G28" s="1146"/>
      <c r="H28" s="1146"/>
      <c r="I28" s="1146"/>
      <c r="J28" s="1146"/>
    </row>
    <row r="29" spans="2:19">
      <c r="B29" s="1146"/>
      <c r="C29" s="1146"/>
      <c r="D29" s="1146"/>
      <c r="E29" s="1146"/>
      <c r="F29" s="1146"/>
      <c r="G29" s="1146"/>
      <c r="H29" s="1146"/>
      <c r="I29" s="1146"/>
      <c r="J29" s="1146"/>
    </row>
    <row r="30" spans="2:19" ht="22.8">
      <c r="B30" s="1759" t="str">
        <f>UPPER('KEY INPUTS'!D$55)&amp;" UTILITY  CAPITAL  FUND"</f>
        <v xml:space="preserve"> UTILITY  CAPITAL  FUND</v>
      </c>
      <c r="C30" s="1759"/>
      <c r="D30" s="1759"/>
      <c r="E30" s="1759"/>
      <c r="F30" s="1759"/>
      <c r="G30" s="1759"/>
      <c r="H30" s="1759"/>
      <c r="I30" s="1759"/>
      <c r="J30" s="1759"/>
    </row>
    <row r="31" spans="2:19" ht="7.5" customHeight="1">
      <c r="B31" s="1146"/>
      <c r="C31" s="1146"/>
      <c r="D31" s="1146"/>
      <c r="E31" s="1146"/>
      <c r="F31" s="1146"/>
      <c r="G31" s="1146"/>
      <c r="H31" s="1146"/>
      <c r="I31" s="1146"/>
      <c r="J31" s="1146"/>
    </row>
    <row r="32" spans="2:19" ht="15.6">
      <c r="B32" s="1783" t="s">
        <v>234</v>
      </c>
      <c r="C32" s="1783"/>
      <c r="D32" s="1783"/>
      <c r="E32" s="1783"/>
      <c r="F32" s="1783"/>
      <c r="G32" s="1783"/>
      <c r="H32" s="1783"/>
      <c r="I32" s="1783"/>
      <c r="J32" s="1783"/>
    </row>
    <row r="33" spans="2:10" ht="13.8" thickBot="1">
      <c r="B33" s="1146"/>
      <c r="C33" s="1146"/>
      <c r="D33" s="1146"/>
      <c r="E33" s="1146"/>
      <c r="F33" s="1146"/>
      <c r="G33" s="1146"/>
      <c r="H33" s="1146"/>
      <c r="I33" s="1146"/>
      <c r="J33" s="1146"/>
    </row>
    <row r="34" spans="2:10" ht="26.25" customHeight="1" thickTop="1" thickBot="1">
      <c r="B34" s="1388"/>
      <c r="C34" s="1388"/>
      <c r="D34" s="1388"/>
      <c r="E34" s="1388"/>
      <c r="F34" s="1388"/>
      <c r="G34" s="1388"/>
      <c r="H34" s="1388"/>
      <c r="I34" s="1134" t="s">
        <v>125</v>
      </c>
      <c r="J34" s="1135" t="s">
        <v>126</v>
      </c>
    </row>
    <row r="35" spans="2:10" ht="21" customHeight="1" thickTop="1">
      <c r="B35" s="1158" t="str">
        <f>'KEY INPUTS'!D25</f>
        <v>Balance - January 1, 2019</v>
      </c>
      <c r="C35" s="1158"/>
      <c r="D35" s="1158"/>
      <c r="E35" s="1158"/>
      <c r="F35" s="1158"/>
      <c r="G35" s="1158"/>
      <c r="H35" s="1400"/>
      <c r="I35" s="1088" t="s">
        <v>787</v>
      </c>
      <c r="J35" s="639"/>
    </row>
    <row r="36" spans="2:10" ht="21" customHeight="1">
      <c r="B36" s="1139" t="str">
        <f>"Received from "&amp;TEXT('KEY INPUTS'!D34,"0")&amp;" Budget Appropriation *"</f>
        <v>Received from 2019 Budget Appropriation *</v>
      </c>
      <c r="C36" s="1139"/>
      <c r="D36" s="1139"/>
      <c r="E36" s="1139"/>
      <c r="F36" s="1139"/>
      <c r="G36" s="1139"/>
      <c r="H36" s="1401"/>
      <c r="I36" s="973" t="s">
        <v>787</v>
      </c>
      <c r="J36" s="609"/>
    </row>
    <row r="37" spans="2:10" ht="21" customHeight="1">
      <c r="B37" s="1139" t="str">
        <f>"Received from "&amp;TEXT('KEY INPUTS'!D34,"0")&amp;" Emergency Appropriation *"</f>
        <v>Received from 2019 Emergency Appropriation *</v>
      </c>
      <c r="C37" s="1139"/>
      <c r="D37" s="1139"/>
      <c r="E37" s="1139"/>
      <c r="F37" s="1139"/>
      <c r="G37" s="1139"/>
      <c r="H37" s="1401"/>
      <c r="I37" s="973" t="s">
        <v>787</v>
      </c>
      <c r="J37" s="609"/>
    </row>
    <row r="38" spans="2:10" ht="21" customHeight="1">
      <c r="B38" s="668"/>
      <c r="C38" s="1282"/>
      <c r="D38" s="668"/>
      <c r="E38" s="1391"/>
      <c r="F38" s="1391"/>
      <c r="G38" s="1391"/>
      <c r="H38" s="1391"/>
      <c r="I38" s="683"/>
      <c r="J38" s="376"/>
    </row>
    <row r="39" spans="2:10" ht="21" customHeight="1">
      <c r="B39" s="1139" t="s">
        <v>229</v>
      </c>
      <c r="C39" s="1139"/>
      <c r="D39" s="1139"/>
      <c r="E39" s="1139"/>
      <c r="F39" s="1139"/>
      <c r="G39" s="1139"/>
      <c r="H39" s="1401"/>
      <c r="I39" s="601"/>
      <c r="J39" s="977" t="s">
        <v>787</v>
      </c>
    </row>
    <row r="40" spans="2:10" ht="21" customHeight="1">
      <c r="B40" s="648"/>
      <c r="C40" s="648"/>
      <c r="D40" s="648"/>
      <c r="E40" s="1139"/>
      <c r="F40" s="1139"/>
      <c r="G40" s="1139"/>
      <c r="H40" s="1139"/>
      <c r="I40" s="601"/>
      <c r="J40" s="977" t="s">
        <v>787</v>
      </c>
    </row>
    <row r="41" spans="2:10" ht="21" customHeight="1" thickBot="1">
      <c r="B41" s="1139" t="str">
        <f>'KEY INPUTS'!D26</f>
        <v>Balance - December 31, 2019</v>
      </c>
      <c r="C41" s="1139"/>
      <c r="D41" s="1139"/>
      <c r="E41" s="1139"/>
      <c r="F41" s="1139"/>
      <c r="G41" s="1139"/>
      <c r="H41" s="1401"/>
      <c r="I41" s="1283">
        <f>SUM(J35:J38)-SUM(I38:I40)</f>
        <v>0</v>
      </c>
      <c r="J41" s="1104" t="s">
        <v>787</v>
      </c>
    </row>
    <row r="42" spans="2:10" ht="21" customHeight="1" thickTop="1" thickBot="1">
      <c r="B42" s="1146"/>
      <c r="C42" s="1146"/>
      <c r="D42" s="1146"/>
      <c r="E42" s="1146"/>
      <c r="F42" s="1146"/>
      <c r="G42" s="1146"/>
      <c r="H42" s="1146"/>
      <c r="I42" s="1061">
        <f>SUM(I35:I41)</f>
        <v>0</v>
      </c>
      <c r="J42" s="1107">
        <f>SUM(J35:J41)</f>
        <v>0</v>
      </c>
    </row>
    <row r="43" spans="2:10" ht="21" customHeight="1" thickTop="1">
      <c r="I43" s="191"/>
      <c r="J43" s="191"/>
    </row>
    <row r="44" spans="2:10" ht="21" customHeight="1"/>
    <row r="45" spans="2:10" ht="13.5" customHeight="1">
      <c r="B45" s="554" t="str">
        <f>"*The full amount of the "&amp;TEXT('KEY INPUTS'!D34,"0")&amp;"  budget appropriation should be transferred to this account unless the balance of the"</f>
        <v>*The full amount of the 2019  budget appropriation should be transferred to this account unless the balance of the</v>
      </c>
      <c r="C45" s="554"/>
    </row>
    <row r="46" spans="2:10" ht="13.5" customHeight="1">
      <c r="B46" s="554"/>
      <c r="C46" s="554" t="s">
        <v>233</v>
      </c>
    </row>
    <row r="47" spans="2:10" ht="13.5" customHeight="1">
      <c r="B47" s="554"/>
      <c r="C47" s="554"/>
    </row>
    <row r="48" spans="2:10" ht="13.5" customHeight="1">
      <c r="B48" s="554"/>
      <c r="C48" s="554"/>
    </row>
    <row r="49" spans="2:10" ht="13.5" customHeight="1">
      <c r="B49" s="554"/>
      <c r="C49" s="554"/>
    </row>
    <row r="50" spans="2:10" ht="13.5" customHeight="1">
      <c r="B50" s="554"/>
      <c r="C50" s="554"/>
    </row>
    <row r="51" spans="2:10" ht="13.5" customHeight="1">
      <c r="B51" s="554"/>
      <c r="C51" s="554"/>
    </row>
    <row r="52" spans="2:10" ht="13.5" customHeight="1">
      <c r="B52" s="554"/>
      <c r="C52" s="554"/>
    </row>
    <row r="53" spans="2:10" ht="13.5" customHeight="1">
      <c r="B53" s="554"/>
      <c r="C53" s="554"/>
    </row>
    <row r="54" spans="2:10" ht="13.8">
      <c r="B54" s="1812" t="s">
        <v>3451</v>
      </c>
      <c r="C54" s="1812"/>
      <c r="D54" s="1812"/>
      <c r="E54" s="1812"/>
      <c r="F54" s="1812"/>
      <c r="G54" s="1812"/>
      <c r="H54" s="1812"/>
      <c r="I54" s="1812"/>
      <c r="J54" s="1812"/>
    </row>
  </sheetData>
  <sheetProtection algorithmName="SHA-512" hashValue="wLOIG+9DS1KhWfc9nn/WwAq4TMn/emJydkwtslrqD/yVqj9tTjAOkhrH393/IkRYEYGKIEqezUMvNm9YdOlx/A==" saltValue="iwRe9F0vKnrZ742P9wbqR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7">
    <mergeCell ref="B3:J3"/>
    <mergeCell ref="B5:J5"/>
    <mergeCell ref="B30:J30"/>
    <mergeCell ref="B32:J32"/>
    <mergeCell ref="B54:J54"/>
    <mergeCell ref="J11:J12"/>
    <mergeCell ref="I11:I12"/>
  </mergeCells>
  <pageMargins left="0.25" right="0.25" top="0.5" bottom="0.5" header="0.25" footer="0.25"/>
  <pageSetup paperSize="5" orientation="portrait" r:id="rId5"/>
  <headerFooter alignWithMargins="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6">
    <tabColor theme="2" tint="-0.249977111117893"/>
  </sheetPr>
  <dimension ref="B1:AC52"/>
  <sheetViews>
    <sheetView zoomScaleNormal="100" zoomScaleSheetLayoutView="80" workbookViewId="0">
      <selection activeCell="B1" sqref="B1"/>
    </sheetView>
  </sheetViews>
  <sheetFormatPr defaultColWidth="8.88671875" defaultRowHeight="13.2"/>
  <cols>
    <col min="1" max="3" width="4.6640625" style="398" customWidth="1"/>
    <col min="4" max="4" width="4.5546875" style="398" customWidth="1"/>
    <col min="5" max="5" width="8.88671875" style="398"/>
    <col min="6" max="6" width="6.6640625" style="398" customWidth="1"/>
    <col min="7" max="10" width="16.6640625" style="398" customWidth="1"/>
    <col min="11" max="20" width="8.88671875" style="398"/>
    <col min="21" max="23" width="4.6640625" style="322" customWidth="1"/>
    <col min="24" max="24" width="8.88671875" style="322"/>
    <col min="25" max="25" width="6.6640625" style="322" customWidth="1"/>
    <col min="26" max="29" width="16.6640625" style="322" customWidth="1"/>
    <col min="30" max="16384" width="8.88671875" style="398"/>
  </cols>
  <sheetData>
    <row r="1" spans="2:19">
      <c r="B1" s="1114"/>
      <c r="C1" s="1114"/>
      <c r="D1" s="1222"/>
      <c r="E1" s="1222"/>
      <c r="F1" s="1114"/>
      <c r="G1" s="1114"/>
      <c r="H1" s="1114"/>
      <c r="I1" s="1114"/>
      <c r="J1" s="1114"/>
    </row>
    <row r="2" spans="2:19">
      <c r="B2" s="1114"/>
      <c r="C2" s="1114"/>
      <c r="D2" s="1222"/>
      <c r="E2" s="1222"/>
      <c r="F2" s="1114"/>
      <c r="G2" s="1114"/>
      <c r="H2" s="1114"/>
      <c r="I2" s="1114"/>
      <c r="J2" s="1114"/>
    </row>
    <row r="3" spans="2:19" ht="24.6">
      <c r="B3" s="1949" t="str">
        <f>UPPER('KEY INPUTS'!D$55)&amp;" UTILITY FUND"</f>
        <v xml:space="preserve"> UTILITY FUND</v>
      </c>
      <c r="C3" s="1949"/>
      <c r="D3" s="1949"/>
      <c r="E3" s="1949"/>
      <c r="F3" s="1949"/>
      <c r="G3" s="1949"/>
      <c r="H3" s="1949"/>
      <c r="I3" s="1949"/>
      <c r="J3" s="1949"/>
    </row>
    <row r="4" spans="2:19">
      <c r="B4" s="1114"/>
      <c r="C4" s="1114"/>
      <c r="D4" s="1114"/>
      <c r="E4" s="1114"/>
      <c r="F4" s="1114"/>
      <c r="G4" s="1114"/>
      <c r="H4" s="1114"/>
      <c r="I4" s="1114"/>
      <c r="J4" s="1114"/>
    </row>
    <row r="5" spans="2:19" ht="17.399999999999999">
      <c r="B5" s="1805" t="str">
        <f>"CAPITAL  IMPROVEMENTS  AUTHORIZED  IN "&amp;TEXT('KEY INPUTS'!D34,"0")&amp;""</f>
        <v>CAPITAL  IMPROVEMENTS  AUTHORIZED  IN 2019</v>
      </c>
      <c r="C5" s="1805"/>
      <c r="D5" s="1805"/>
      <c r="E5" s="1805"/>
      <c r="F5" s="1805"/>
      <c r="G5" s="1805"/>
      <c r="H5" s="1805"/>
      <c r="I5" s="1805"/>
      <c r="J5" s="1805"/>
    </row>
    <row r="6" spans="2:19" ht="17.399999999999999">
      <c r="B6" s="1805" t="s">
        <v>261</v>
      </c>
      <c r="C6" s="1805"/>
      <c r="D6" s="1805"/>
      <c r="E6" s="1805"/>
      <c r="F6" s="1805"/>
      <c r="G6" s="1805"/>
      <c r="H6" s="1805"/>
      <c r="I6" s="1805"/>
      <c r="J6" s="1805"/>
    </row>
    <row r="7" spans="2:19" ht="13.8" thickBot="1">
      <c r="B7" s="1114"/>
      <c r="C7" s="1114"/>
      <c r="D7" s="1114"/>
      <c r="E7" s="1114"/>
      <c r="F7" s="1114"/>
      <c r="G7" s="1114"/>
      <c r="H7" s="1114"/>
      <c r="I7" s="1114"/>
      <c r="J7" s="1114"/>
    </row>
    <row r="8" spans="2:19" ht="13.8" thickTop="1">
      <c r="B8" s="1237"/>
      <c r="C8" s="1237"/>
      <c r="D8" s="1237"/>
      <c r="E8" s="1237"/>
      <c r="F8" s="1237"/>
      <c r="G8" s="1238"/>
      <c r="H8" s="1238"/>
      <c r="I8" s="1238"/>
      <c r="J8" s="1302" t="s">
        <v>307</v>
      </c>
    </row>
    <row r="9" spans="2:19">
      <c r="B9" s="1114"/>
      <c r="C9" s="1864" t="s">
        <v>532</v>
      </c>
      <c r="D9" s="1864"/>
      <c r="E9" s="1864"/>
      <c r="F9" s="1114"/>
      <c r="G9" s="1241" t="s">
        <v>533</v>
      </c>
      <c r="H9" s="1241" t="s">
        <v>260</v>
      </c>
      <c r="I9" s="1241" t="s">
        <v>265</v>
      </c>
      <c r="J9" s="1299" t="s">
        <v>308</v>
      </c>
    </row>
    <row r="10" spans="2:19">
      <c r="B10" s="1114"/>
      <c r="C10" s="1114"/>
      <c r="D10" s="1114"/>
      <c r="E10" s="1114"/>
      <c r="F10" s="1114"/>
      <c r="G10" s="1241" t="s">
        <v>263</v>
      </c>
      <c r="H10" s="1241" t="s">
        <v>264</v>
      </c>
      <c r="I10" s="1241" t="s">
        <v>266</v>
      </c>
      <c r="J10" s="1407" t="str">
        <f>"of " &amp;TEXT('KEY INPUTS'!D34,"0")&amp;" or Prior"</f>
        <v>of 2019 or Prior</v>
      </c>
    </row>
    <row r="11" spans="2:19" ht="13.8" thickBot="1">
      <c r="B11" s="1169"/>
      <c r="C11" s="1169"/>
      <c r="D11" s="1169"/>
      <c r="E11" s="1169"/>
      <c r="F11" s="1169"/>
      <c r="G11" s="1248"/>
      <c r="H11" s="1248" t="s">
        <v>560</v>
      </c>
      <c r="I11" s="1248" t="s">
        <v>306</v>
      </c>
      <c r="J11" s="1408" t="s">
        <v>309</v>
      </c>
      <c r="M11" s="322"/>
      <c r="N11" s="322"/>
      <c r="O11" s="322"/>
      <c r="P11" s="322"/>
      <c r="Q11" s="322"/>
      <c r="R11" s="322"/>
      <c r="S11" s="322"/>
    </row>
    <row r="12" spans="2:19" ht="21" customHeight="1" thickTop="1">
      <c r="B12" s="673"/>
      <c r="C12" s="673"/>
      <c r="D12" s="673"/>
      <c r="E12" s="673"/>
      <c r="F12" s="673"/>
      <c r="G12" s="605"/>
      <c r="H12" s="605"/>
      <c r="I12" s="605"/>
      <c r="J12" s="639"/>
      <c r="M12" s="322"/>
      <c r="N12" s="322"/>
      <c r="O12" s="322"/>
      <c r="P12" s="322"/>
      <c r="Q12" s="322"/>
      <c r="R12" s="322"/>
      <c r="S12" s="322"/>
    </row>
    <row r="13" spans="2:19" ht="21" customHeight="1">
      <c r="B13" s="648"/>
      <c r="C13" s="648"/>
      <c r="D13" s="648"/>
      <c r="E13" s="648"/>
      <c r="F13" s="648"/>
      <c r="G13" s="601"/>
      <c r="H13" s="601"/>
      <c r="I13" s="601"/>
      <c r="J13" s="609"/>
      <c r="M13" s="377"/>
      <c r="N13" s="322"/>
      <c r="O13" s="322"/>
      <c r="P13" s="322"/>
      <c r="Q13" s="322"/>
      <c r="R13" s="322"/>
      <c r="S13" s="322"/>
    </row>
    <row r="14" spans="2:19" ht="21" customHeight="1">
      <c r="B14" s="648"/>
      <c r="C14" s="648"/>
      <c r="D14" s="648"/>
      <c r="E14" s="648"/>
      <c r="F14" s="648"/>
      <c r="G14" s="601"/>
      <c r="H14" s="601"/>
      <c r="I14" s="601"/>
      <c r="J14" s="609"/>
      <c r="M14" s="322"/>
      <c r="N14" s="322"/>
      <c r="O14" s="322"/>
      <c r="P14" s="322"/>
      <c r="Q14" s="322"/>
      <c r="R14" s="322"/>
      <c r="S14" s="322"/>
    </row>
    <row r="15" spans="2:19" ht="21" customHeight="1">
      <c r="B15" s="648"/>
      <c r="C15" s="648"/>
      <c r="D15" s="648"/>
      <c r="E15" s="648"/>
      <c r="F15" s="648"/>
      <c r="G15" s="601"/>
      <c r="H15" s="601"/>
      <c r="I15" s="601"/>
      <c r="J15" s="609"/>
      <c r="M15" s="322"/>
      <c r="N15" s="322"/>
      <c r="O15" s="322"/>
      <c r="P15" s="322"/>
      <c r="Q15" s="322"/>
      <c r="R15" s="322"/>
      <c r="S15" s="322"/>
    </row>
    <row r="16" spans="2:19" ht="21" customHeight="1">
      <c r="B16" s="648"/>
      <c r="C16" s="648"/>
      <c r="D16" s="648"/>
      <c r="E16" s="648"/>
      <c r="F16" s="648"/>
      <c r="G16" s="601"/>
      <c r="H16" s="601"/>
      <c r="I16" s="601"/>
      <c r="J16" s="609"/>
      <c r="M16" s="322"/>
      <c r="N16" s="322"/>
      <c r="O16" s="322"/>
      <c r="P16" s="322"/>
      <c r="Q16" s="322"/>
      <c r="R16" s="322"/>
      <c r="S16" s="322"/>
    </row>
    <row r="17" spans="2:19" ht="21" customHeight="1">
      <c r="B17" s="648"/>
      <c r="C17" s="648"/>
      <c r="D17" s="648"/>
      <c r="E17" s="648"/>
      <c r="F17" s="648"/>
      <c r="G17" s="601"/>
      <c r="H17" s="601"/>
      <c r="I17" s="601"/>
      <c r="J17" s="609"/>
      <c r="M17" s="322"/>
      <c r="N17" s="322"/>
      <c r="O17" s="322"/>
      <c r="P17" s="322"/>
      <c r="Q17" s="322"/>
      <c r="R17" s="322"/>
      <c r="S17" s="322"/>
    </row>
    <row r="18" spans="2:19" ht="21" customHeight="1">
      <c r="B18" s="648"/>
      <c r="C18" s="648"/>
      <c r="D18" s="648"/>
      <c r="E18" s="648"/>
      <c r="F18" s="648"/>
      <c r="G18" s="601"/>
      <c r="H18" s="601"/>
      <c r="I18" s="601"/>
      <c r="J18" s="609"/>
      <c r="M18" s="322"/>
      <c r="N18" s="322"/>
      <c r="O18" s="322"/>
      <c r="P18" s="322"/>
      <c r="Q18" s="322"/>
      <c r="R18" s="322"/>
      <c r="S18" s="322"/>
    </row>
    <row r="19" spans="2:19" ht="21" customHeight="1">
      <c r="B19" s="648"/>
      <c r="C19" s="648"/>
      <c r="D19" s="648"/>
      <c r="E19" s="648"/>
      <c r="F19" s="648"/>
      <c r="G19" s="601"/>
      <c r="H19" s="601"/>
      <c r="I19" s="601"/>
      <c r="J19" s="609"/>
      <c r="M19" s="322"/>
      <c r="N19" s="322"/>
      <c r="O19" s="322"/>
      <c r="P19" s="322"/>
      <c r="Q19" s="322"/>
      <c r="R19" s="322"/>
      <c r="S19" s="322"/>
    </row>
    <row r="20" spans="2:19" ht="21" customHeight="1">
      <c r="B20" s="648"/>
      <c r="C20" s="648"/>
      <c r="D20" s="648"/>
      <c r="E20" s="648"/>
      <c r="F20" s="648"/>
      <c r="G20" s="601"/>
      <c r="H20" s="601"/>
      <c r="I20" s="601"/>
      <c r="J20" s="609"/>
      <c r="M20" s="322"/>
      <c r="N20" s="322"/>
      <c r="O20" s="322"/>
      <c r="P20" s="322"/>
      <c r="Q20" s="322"/>
      <c r="R20" s="322"/>
      <c r="S20" s="322"/>
    </row>
    <row r="21" spans="2:19" ht="21" customHeight="1" thickBot="1">
      <c r="B21" s="648"/>
      <c r="C21" s="648"/>
      <c r="D21" s="648"/>
      <c r="E21" s="648"/>
      <c r="F21" s="648"/>
      <c r="G21" s="627"/>
      <c r="H21" s="627"/>
      <c r="I21" s="627"/>
      <c r="J21" s="671"/>
      <c r="M21" s="322"/>
      <c r="N21" s="322"/>
      <c r="O21" s="322"/>
      <c r="P21" s="322"/>
      <c r="Q21" s="322"/>
      <c r="R21" s="322"/>
      <c r="S21" s="322"/>
    </row>
    <row r="22" spans="2:19" ht="21" customHeight="1" thickTop="1" thickBot="1">
      <c r="B22" s="1169"/>
      <c r="C22" s="1169"/>
      <c r="D22" s="1169"/>
      <c r="E22" s="1169"/>
      <c r="F22" s="1169"/>
      <c r="G22" s="1131">
        <f>SUM(G12:G21)</f>
        <v>0</v>
      </c>
      <c r="H22" s="1131">
        <f>SUM(H12:H21)</f>
        <v>0</v>
      </c>
      <c r="I22" s="1131">
        <f>SUM(I12:I21)</f>
        <v>0</v>
      </c>
      <c r="J22" s="1409">
        <f>SUM(J12:J21)</f>
        <v>0</v>
      </c>
      <c r="M22" s="322"/>
      <c r="N22" s="322"/>
      <c r="O22" s="322"/>
      <c r="P22" s="322"/>
      <c r="Q22" s="322"/>
      <c r="R22" s="322"/>
      <c r="S22" s="322"/>
    </row>
    <row r="23" spans="2:19" ht="13.8" thickTop="1">
      <c r="B23" s="1114"/>
      <c r="C23" s="1114"/>
      <c r="D23" s="1114"/>
      <c r="E23" s="1114"/>
      <c r="F23" s="1114"/>
      <c r="G23" s="1114"/>
      <c r="H23" s="1114"/>
      <c r="I23" s="1114"/>
      <c r="J23" s="1114"/>
      <c r="M23" s="322"/>
      <c r="N23" s="322"/>
      <c r="O23" s="322"/>
      <c r="P23" s="322"/>
      <c r="Q23" s="322"/>
      <c r="R23" s="322"/>
      <c r="S23" s="322"/>
    </row>
    <row r="24" spans="2:19">
      <c r="B24" s="1114"/>
      <c r="C24" s="1114"/>
      <c r="D24" s="1114"/>
      <c r="E24" s="1114"/>
      <c r="F24" s="1114"/>
      <c r="G24" s="1114"/>
      <c r="H24" s="1114"/>
      <c r="I24" s="1114"/>
      <c r="J24" s="1114"/>
      <c r="M24" s="322"/>
      <c r="N24" s="322"/>
      <c r="O24" s="322"/>
      <c r="P24" s="322"/>
      <c r="Q24" s="322"/>
      <c r="R24" s="322"/>
      <c r="S24" s="322"/>
    </row>
    <row r="25" spans="2:19">
      <c r="B25" s="1114"/>
      <c r="C25" s="1114"/>
      <c r="D25" s="1114"/>
      <c r="E25" s="1114"/>
      <c r="F25" s="1114"/>
      <c r="G25" s="1114"/>
      <c r="H25" s="1114"/>
      <c r="I25" s="1114"/>
      <c r="J25" s="1114"/>
      <c r="M25" s="322"/>
      <c r="N25" s="322"/>
      <c r="O25" s="322"/>
      <c r="P25" s="322"/>
      <c r="Q25" s="322"/>
      <c r="R25" s="322"/>
      <c r="S25" s="322"/>
    </row>
    <row r="26" spans="2:19">
      <c r="B26" s="1114"/>
      <c r="C26" s="1114"/>
      <c r="D26" s="1114"/>
      <c r="E26" s="1114"/>
      <c r="F26" s="1114"/>
      <c r="G26" s="1114"/>
      <c r="H26" s="1114"/>
      <c r="I26" s="1114"/>
      <c r="J26" s="1114"/>
      <c r="M26" s="322"/>
      <c r="N26" s="322"/>
      <c r="O26" s="322"/>
      <c r="P26" s="322"/>
      <c r="Q26" s="322"/>
      <c r="R26" s="322"/>
      <c r="S26" s="322"/>
    </row>
    <row r="27" spans="2:19">
      <c r="B27" s="1114"/>
      <c r="C27" s="1114"/>
      <c r="D27" s="1114"/>
      <c r="E27" s="1114"/>
      <c r="F27" s="1114"/>
      <c r="G27" s="1114"/>
      <c r="H27" s="1114"/>
      <c r="I27" s="1114"/>
      <c r="J27" s="1114"/>
      <c r="M27" s="322"/>
      <c r="N27" s="322"/>
      <c r="O27" s="322"/>
      <c r="P27" s="322"/>
      <c r="Q27" s="322"/>
      <c r="R27" s="322"/>
      <c r="S27" s="322"/>
    </row>
    <row r="28" spans="2:19" ht="22.8">
      <c r="B28" s="1759" t="str">
        <f>UPPER('KEY INPUTS'!D$55)&amp;" UTILITY  CAPITAL  FUND"</f>
        <v xml:space="preserve"> UTILITY  CAPITAL  FUND</v>
      </c>
      <c r="C28" s="1759"/>
      <c r="D28" s="1759"/>
      <c r="E28" s="1759"/>
      <c r="F28" s="1759"/>
      <c r="G28" s="1759"/>
      <c r="H28" s="1759"/>
      <c r="I28" s="1759"/>
      <c r="J28" s="1759"/>
    </row>
    <row r="29" spans="2:19" ht="22.8">
      <c r="B29" s="1759" t="s">
        <v>193</v>
      </c>
      <c r="C29" s="1759"/>
      <c r="D29" s="1759"/>
      <c r="E29" s="1759"/>
      <c r="F29" s="1759"/>
      <c r="G29" s="1759"/>
      <c r="H29" s="1759"/>
      <c r="I29" s="1759"/>
      <c r="J29" s="1759"/>
    </row>
    <row r="30" spans="2:19">
      <c r="B30" s="1114"/>
      <c r="C30" s="1114"/>
      <c r="D30" s="1114"/>
      <c r="E30" s="1114"/>
      <c r="F30" s="1114"/>
      <c r="G30" s="1114"/>
      <c r="H30" s="1114"/>
      <c r="I30" s="1114"/>
      <c r="J30" s="1114"/>
    </row>
    <row r="31" spans="2:19" ht="15.6">
      <c r="B31" s="1766" t="str">
        <f>"YEAR  "&amp;TEXT('KEY INPUTS'!D34,"0")&amp;""</f>
        <v>YEAR  2019</v>
      </c>
      <c r="C31" s="1766"/>
      <c r="D31" s="1766"/>
      <c r="E31" s="1766"/>
      <c r="F31" s="1766"/>
      <c r="G31" s="1766"/>
      <c r="H31" s="1766"/>
      <c r="I31" s="1766"/>
      <c r="J31" s="1766"/>
    </row>
    <row r="32" spans="2:19" ht="13.8" thickBot="1">
      <c r="B32" s="1114"/>
      <c r="C32" s="1114"/>
      <c r="D32" s="1114"/>
      <c r="E32" s="1114"/>
      <c r="F32" s="1114"/>
      <c r="G32" s="1114"/>
      <c r="H32" s="1114"/>
      <c r="I32" s="1114"/>
      <c r="J32" s="1114"/>
    </row>
    <row r="33" spans="2:10" ht="28.5" customHeight="1" thickTop="1" thickBot="1">
      <c r="B33" s="1333"/>
      <c r="C33" s="1333"/>
      <c r="D33" s="1333"/>
      <c r="E33" s="1333"/>
      <c r="F33" s="1333"/>
      <c r="G33" s="1333"/>
      <c r="H33" s="1333"/>
      <c r="I33" s="1115" t="s">
        <v>125</v>
      </c>
      <c r="J33" s="1116" t="s">
        <v>126</v>
      </c>
    </row>
    <row r="34" spans="2:10" ht="21" customHeight="1" thickTop="1">
      <c r="B34" s="707" t="str">
        <f>'KEY INPUTS'!D25</f>
        <v>Balance - January 1, 2019</v>
      </c>
      <c r="C34" s="1170"/>
      <c r="D34" s="1170"/>
      <c r="E34" s="1170"/>
      <c r="F34" s="1170"/>
      <c r="G34" s="1170"/>
      <c r="H34" s="1170"/>
      <c r="I34" s="1171" t="s">
        <v>787</v>
      </c>
      <c r="J34" s="638"/>
    </row>
    <row r="35" spans="2:10" ht="21" customHeight="1">
      <c r="B35" s="402" t="s">
        <v>195</v>
      </c>
      <c r="C35" s="690"/>
      <c r="D35" s="690"/>
      <c r="E35" s="690"/>
      <c r="F35" s="690"/>
      <c r="G35" s="690"/>
      <c r="H35" s="690"/>
      <c r="I35" s="1174" t="s">
        <v>787</v>
      </c>
      <c r="J35" s="578"/>
    </row>
    <row r="36" spans="2:10" ht="21" customHeight="1">
      <c r="B36" s="402" t="s">
        <v>196</v>
      </c>
      <c r="C36" s="690"/>
      <c r="D36" s="690"/>
      <c r="E36" s="690"/>
      <c r="F36" s="690"/>
      <c r="G36" s="690"/>
      <c r="H36" s="690"/>
      <c r="I36" s="1174" t="s">
        <v>787</v>
      </c>
      <c r="J36" s="578"/>
    </row>
    <row r="37" spans="2:10" ht="21" customHeight="1">
      <c r="B37" s="648" t="s">
        <v>3493</v>
      </c>
      <c r="C37" s="648"/>
      <c r="D37" s="648"/>
      <c r="E37" s="648"/>
      <c r="F37" s="648"/>
      <c r="G37" s="648"/>
      <c r="H37" s="690"/>
      <c r="I37" s="374"/>
      <c r="J37" s="578"/>
    </row>
    <row r="38" spans="2:10" ht="21" customHeight="1">
      <c r="B38" s="648"/>
      <c r="C38" s="648"/>
      <c r="D38" s="648"/>
      <c r="E38" s="648"/>
      <c r="F38" s="648"/>
      <c r="G38" s="648"/>
      <c r="H38" s="690"/>
      <c r="I38" s="374"/>
      <c r="J38" s="578"/>
    </row>
    <row r="39" spans="2:10" ht="21" customHeight="1">
      <c r="B39" s="648"/>
      <c r="C39" s="648"/>
      <c r="D39" s="648"/>
      <c r="E39" s="648"/>
      <c r="F39" s="648"/>
      <c r="G39" s="648"/>
      <c r="H39" s="690"/>
      <c r="I39" s="374"/>
      <c r="J39" s="578"/>
    </row>
    <row r="40" spans="2:10" ht="21" customHeight="1">
      <c r="B40" s="690" t="s">
        <v>3453</v>
      </c>
      <c r="C40" s="690"/>
      <c r="D40" s="690"/>
      <c r="E40" s="690"/>
      <c r="F40" s="690"/>
      <c r="G40" s="690"/>
      <c r="H40" s="690"/>
      <c r="I40" s="374"/>
      <c r="J40" s="1300" t="s">
        <v>787</v>
      </c>
    </row>
    <row r="41" spans="2:10" ht="21" customHeight="1">
      <c r="B41" s="914" t="str">
        <f>"Appropriation to "&amp;'KEY INPUTS'!D34&amp;" Budget Reserve"</f>
        <v>Appropriation to 2019 Budget Reserve</v>
      </c>
      <c r="C41" s="690"/>
      <c r="D41" s="690"/>
      <c r="E41" s="690"/>
      <c r="F41" s="690"/>
      <c r="G41" s="1411"/>
      <c r="H41" s="690"/>
      <c r="I41" s="575"/>
      <c r="J41" s="1300" t="s">
        <v>787</v>
      </c>
    </row>
    <row r="42" spans="2:10" ht="21" customHeight="1">
      <c r="B42" s="690" t="str">
        <f>'KEY INPUTS'!D26</f>
        <v>Balance - December 31, 2019</v>
      </c>
      <c r="C42" s="690"/>
      <c r="D42" s="690"/>
      <c r="E42" s="690"/>
      <c r="F42" s="690"/>
      <c r="G42" s="690"/>
      <c r="H42" s="690"/>
      <c r="I42" s="842">
        <f>SUM(J34:J39)-SUM(I37:I41)</f>
        <v>0</v>
      </c>
      <c r="J42" s="1300" t="s">
        <v>787</v>
      </c>
    </row>
    <row r="43" spans="2:10" ht="21" customHeight="1" thickBot="1">
      <c r="B43" s="1114"/>
      <c r="C43" s="1114"/>
      <c r="D43" s="1114"/>
      <c r="E43" s="1114"/>
      <c r="F43" s="1114"/>
      <c r="G43" s="1114"/>
      <c r="H43" s="1114"/>
      <c r="I43" s="1109">
        <f>SUM(I34:I42)</f>
        <v>0</v>
      </c>
      <c r="J43" s="1412">
        <f>SUM(J34:J42)</f>
        <v>0</v>
      </c>
    </row>
    <row r="44" spans="2:10" ht="21" customHeight="1" thickTop="1">
      <c r="J44" s="775"/>
    </row>
    <row r="45" spans="2:10" ht="21" customHeight="1"/>
    <row r="46" spans="2:10" ht="21" customHeight="1"/>
    <row r="47" spans="2:10" ht="21" customHeight="1"/>
    <row r="48" spans="2:10" ht="21" customHeight="1"/>
    <row r="49" spans="2:10" ht="21" customHeight="1"/>
    <row r="52" spans="2:10" ht="13.8">
      <c r="B52" s="1765" t="s">
        <v>3452</v>
      </c>
      <c r="C52" s="1765"/>
      <c r="D52" s="1765"/>
      <c r="E52" s="1765"/>
      <c r="F52" s="1765"/>
      <c r="G52" s="1765"/>
      <c r="H52" s="1765"/>
      <c r="I52" s="1765"/>
      <c r="J52" s="176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8">
    <mergeCell ref="B31:J31"/>
    <mergeCell ref="B52:J52"/>
    <mergeCell ref="B3:J3"/>
    <mergeCell ref="B5:J5"/>
    <mergeCell ref="B6:J6"/>
    <mergeCell ref="C9:E9"/>
    <mergeCell ref="B28:J28"/>
    <mergeCell ref="B29:J29"/>
  </mergeCells>
  <pageMargins left="0.25" right="0.25" top="0.5" bottom="0.5" header="0.25" footer="0.25"/>
  <pageSetup paperSize="5" orientation="portrait" r:id="rId5"/>
  <headerFooter alignWithMargins="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7">
    <tabColor theme="7" tint="0.39997558519241921"/>
  </sheetPr>
  <dimension ref="B1:R57"/>
  <sheetViews>
    <sheetView topLeftCell="A13" zoomScaleNormal="100" zoomScaleSheetLayoutView="80" workbookViewId="0">
      <selection activeCell="H26" sqref="H26"/>
    </sheetView>
  </sheetViews>
  <sheetFormatPr defaultColWidth="8.88671875" defaultRowHeight="13.2"/>
  <cols>
    <col min="1" max="1" width="4.6640625" style="398" customWidth="1"/>
    <col min="2" max="2" width="4.88671875" style="398" customWidth="1"/>
    <col min="3" max="4" width="4.6640625" style="398" customWidth="1"/>
    <col min="5" max="5" width="30.6640625" style="398" customWidth="1"/>
    <col min="6" max="6" width="15.6640625" style="398" customWidth="1"/>
    <col min="7" max="8" width="16.6640625" style="398" customWidth="1"/>
    <col min="9" max="9" width="3.6640625" style="398" bestFit="1" customWidth="1"/>
    <col min="10" max="10" width="13.5546875" style="398" bestFit="1" customWidth="1"/>
    <col min="11" max="16384" width="8.88671875" style="398"/>
  </cols>
  <sheetData>
    <row r="1" spans="2:18">
      <c r="B1" s="1114"/>
      <c r="C1" s="1114"/>
      <c r="D1" s="1114"/>
      <c r="E1" s="1114"/>
      <c r="F1" s="1114"/>
      <c r="G1" s="1114"/>
      <c r="H1" s="1114"/>
    </row>
    <row r="2" spans="2:18">
      <c r="B2" s="1758" t="s">
        <v>37</v>
      </c>
      <c r="C2" s="1758"/>
      <c r="D2" s="1758"/>
      <c r="E2" s="1758"/>
      <c r="F2" s="1758"/>
      <c r="G2" s="1758"/>
      <c r="H2" s="1758"/>
    </row>
    <row r="3" spans="2:18">
      <c r="B3" s="1758" t="s">
        <v>572</v>
      </c>
      <c r="C3" s="1758"/>
      <c r="D3" s="1758"/>
      <c r="E3" s="1758"/>
      <c r="F3" s="1758"/>
      <c r="G3" s="1758"/>
      <c r="H3" s="1758"/>
    </row>
    <row r="4" spans="2:18">
      <c r="B4" s="1114"/>
      <c r="C4" s="1114"/>
      <c r="D4" s="1114"/>
      <c r="E4" s="1114"/>
      <c r="F4" s="1114"/>
      <c r="G4" s="1114"/>
      <c r="H4" s="1114"/>
    </row>
    <row r="5" spans="2:18" ht="22.8">
      <c r="B5" s="1759" t="s">
        <v>543</v>
      </c>
      <c r="C5" s="1759"/>
      <c r="D5" s="1759"/>
      <c r="E5" s="1759"/>
      <c r="F5" s="1759"/>
      <c r="G5" s="1759"/>
      <c r="H5" s="1759"/>
    </row>
    <row r="6" spans="2:18" ht="22.8">
      <c r="B6" s="1759" t="str">
        <f>"TRIAL  BALANCE - "&amp;UPPER('KEY INPUTS'!D56)&amp;"  UTILITY  FUND"</f>
        <v>TRIAL  BALANCE -   UTILITY  FUND</v>
      </c>
      <c r="C6" s="1759"/>
      <c r="D6" s="1759"/>
      <c r="E6" s="1759"/>
      <c r="F6" s="1759"/>
      <c r="G6" s="1759"/>
      <c r="H6" s="1759"/>
    </row>
    <row r="7" spans="2:18" ht="15.6">
      <c r="B7" s="1760" t="str">
        <f>'KEY INPUTS'!D44</f>
        <v>AS  AT  DECEMBER  31, 2019</v>
      </c>
      <c r="C7" s="1761"/>
      <c r="D7" s="1761"/>
      <c r="E7" s="1761"/>
      <c r="F7" s="1761"/>
      <c r="G7" s="1761"/>
      <c r="H7" s="1761"/>
    </row>
    <row r="8" spans="2:18" ht="15.6">
      <c r="B8" s="1766" t="s">
        <v>573</v>
      </c>
      <c r="C8" s="1766"/>
      <c r="D8" s="1766"/>
      <c r="E8" s="1766"/>
      <c r="F8" s="1766"/>
      <c r="G8" s="1766"/>
      <c r="H8" s="1766"/>
    </row>
    <row r="9" spans="2:18">
      <c r="B9" s="1767" t="s">
        <v>79</v>
      </c>
      <c r="C9" s="1767"/>
      <c r="D9" s="1767"/>
      <c r="E9" s="1767"/>
      <c r="F9" s="1767"/>
      <c r="G9" s="1767"/>
      <c r="H9" s="1767"/>
    </row>
    <row r="10" spans="2:18" ht="15" customHeight="1" thickBot="1">
      <c r="B10" s="1768" t="s">
        <v>80</v>
      </c>
      <c r="C10" s="1768"/>
      <c r="D10" s="1768"/>
      <c r="E10" s="1768"/>
      <c r="F10" s="1768"/>
      <c r="G10" s="1768"/>
      <c r="H10" s="1768"/>
    </row>
    <row r="11" spans="2:18" ht="36" customHeight="1" thickTop="1" thickBot="1">
      <c r="B11" s="1762" t="s">
        <v>124</v>
      </c>
      <c r="C11" s="1762"/>
      <c r="D11" s="1762"/>
      <c r="E11" s="1762"/>
      <c r="F11" s="1763"/>
      <c r="G11" s="1115" t="s">
        <v>125</v>
      </c>
      <c r="H11" s="1116" t="s">
        <v>126</v>
      </c>
      <c r="L11" s="322"/>
      <c r="M11" s="322"/>
      <c r="N11" s="322"/>
      <c r="O11" s="322"/>
      <c r="P11" s="322"/>
      <c r="Q11" s="322"/>
      <c r="R11" s="322"/>
    </row>
    <row r="12" spans="2:18" ht="21" customHeight="1" thickTop="1">
      <c r="B12" s="1114"/>
      <c r="C12" s="1114"/>
      <c r="D12" s="1114"/>
      <c r="E12" s="1114"/>
      <c r="F12" s="1114"/>
      <c r="G12" s="1117"/>
      <c r="H12" s="1118"/>
      <c r="L12" s="322"/>
      <c r="M12" s="322"/>
      <c r="N12" s="322"/>
      <c r="O12" s="322"/>
      <c r="P12" s="322"/>
      <c r="Q12" s="322"/>
      <c r="R12" s="322"/>
    </row>
    <row r="13" spans="2:18" ht="21" customHeight="1">
      <c r="B13" s="690" t="s">
        <v>253</v>
      </c>
      <c r="C13" s="690"/>
      <c r="D13" s="690"/>
      <c r="E13" s="690"/>
      <c r="F13" s="690"/>
      <c r="G13" s="601"/>
      <c r="H13" s="609"/>
      <c r="J13" s="739"/>
      <c r="L13" s="377"/>
      <c r="M13" s="322"/>
      <c r="N13" s="322"/>
      <c r="O13" s="322"/>
      <c r="P13" s="322"/>
      <c r="Q13" s="322"/>
      <c r="R13" s="322"/>
    </row>
    <row r="14" spans="2:18" ht="21" customHeight="1">
      <c r="B14" s="648" t="s">
        <v>419</v>
      </c>
      <c r="C14" s="648"/>
      <c r="D14" s="648"/>
      <c r="E14" s="648"/>
      <c r="F14" s="652"/>
      <c r="G14" s="601"/>
      <c r="H14" s="609"/>
      <c r="J14" s="739"/>
      <c r="L14" s="322"/>
      <c r="M14" s="322"/>
      <c r="N14" s="322"/>
      <c r="O14" s="322"/>
      <c r="P14" s="322"/>
      <c r="Q14" s="322"/>
      <c r="R14" s="322"/>
    </row>
    <row r="15" spans="2:18" ht="21" customHeight="1">
      <c r="B15" s="649"/>
      <c r="C15" s="649"/>
      <c r="D15" s="649"/>
      <c r="E15" s="649"/>
      <c r="F15" s="649"/>
      <c r="G15" s="601"/>
      <c r="H15" s="609"/>
      <c r="L15" s="322"/>
      <c r="M15" s="322"/>
      <c r="N15" s="322"/>
      <c r="O15" s="322"/>
      <c r="P15" s="322"/>
      <c r="Q15" s="322"/>
      <c r="R15" s="322"/>
    </row>
    <row r="16" spans="2:18" ht="21" customHeight="1">
      <c r="B16" s="648" t="s">
        <v>3494</v>
      </c>
      <c r="C16" s="648"/>
      <c r="D16" s="648"/>
      <c r="E16" s="648"/>
      <c r="F16" s="648"/>
      <c r="G16" s="1111"/>
      <c r="H16" s="1111"/>
      <c r="L16" s="322"/>
      <c r="M16" s="322"/>
      <c r="N16" s="322"/>
      <c r="O16" s="322"/>
      <c r="P16" s="322"/>
      <c r="Q16" s="322"/>
      <c r="R16" s="322"/>
    </row>
    <row r="17" spans="2:18" ht="21" customHeight="1">
      <c r="B17" s="648" t="s">
        <v>3494</v>
      </c>
      <c r="C17" s="648"/>
      <c r="D17" s="648"/>
      <c r="E17" s="648"/>
      <c r="F17" s="648"/>
      <c r="G17" s="1111"/>
      <c r="H17" s="1111"/>
      <c r="L17" s="322"/>
      <c r="M17" s="322"/>
      <c r="N17" s="322"/>
      <c r="O17" s="322"/>
      <c r="P17" s="322"/>
      <c r="Q17" s="322"/>
      <c r="R17" s="322"/>
    </row>
    <row r="18" spans="2:18" ht="21" customHeight="1">
      <c r="B18" s="648"/>
      <c r="C18" s="648"/>
      <c r="D18" s="648"/>
      <c r="E18" s="648"/>
      <c r="F18" s="648"/>
      <c r="G18" s="1111"/>
      <c r="H18" s="1111"/>
      <c r="L18" s="322"/>
      <c r="M18" s="322"/>
      <c r="N18" s="322"/>
      <c r="O18" s="322"/>
      <c r="P18" s="322"/>
      <c r="Q18" s="322"/>
      <c r="R18" s="322"/>
    </row>
    <row r="19" spans="2:18" ht="21" customHeight="1">
      <c r="B19" s="1119" t="s">
        <v>3483</v>
      </c>
      <c r="C19" s="1114"/>
      <c r="D19" s="1114"/>
      <c r="E19" s="1114"/>
      <c r="F19" s="1114"/>
      <c r="G19" s="1120"/>
      <c r="H19" s="1121"/>
      <c r="L19" s="322"/>
      <c r="M19" s="322"/>
      <c r="N19" s="322"/>
      <c r="O19" s="322"/>
      <c r="P19" s="322"/>
      <c r="Q19" s="322"/>
      <c r="R19" s="322"/>
    </row>
    <row r="20" spans="2:18" ht="21" customHeight="1">
      <c r="B20" s="690" t="s">
        <v>3484</v>
      </c>
      <c r="C20" s="690"/>
      <c r="D20" s="690"/>
      <c r="E20" s="690"/>
      <c r="F20" s="690"/>
      <c r="G20" s="1122">
        <f>+'47-Utility5'!L24</f>
        <v>0</v>
      </c>
      <c r="H20" s="1123"/>
      <c r="L20" s="322"/>
      <c r="M20" s="322"/>
      <c r="N20" s="322"/>
      <c r="O20" s="322"/>
      <c r="P20" s="322"/>
      <c r="Q20" s="322"/>
      <c r="R20" s="322"/>
    </row>
    <row r="21" spans="2:18" ht="21" customHeight="1">
      <c r="B21" s="690" t="s">
        <v>3485</v>
      </c>
      <c r="C21" s="690"/>
      <c r="D21" s="690"/>
      <c r="E21" s="690"/>
      <c r="F21" s="690"/>
      <c r="G21" s="689">
        <f>+'47-Utility5'!L54</f>
        <v>0</v>
      </c>
      <c r="H21" s="1114"/>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J23" s="739"/>
      <c r="L23" s="322"/>
      <c r="M23" s="322"/>
      <c r="N23" s="322"/>
      <c r="O23" s="322"/>
      <c r="P23" s="322"/>
      <c r="Q23" s="322"/>
      <c r="R23" s="322"/>
    </row>
    <row r="24" spans="2:18" ht="21" customHeight="1">
      <c r="B24" s="648"/>
      <c r="C24" s="648"/>
      <c r="D24" s="648"/>
      <c r="E24" s="648"/>
      <c r="F24" s="648"/>
      <c r="G24" s="601"/>
      <c r="H24" s="609"/>
      <c r="J24" s="73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90" t="s">
        <v>3486</v>
      </c>
      <c r="C26" s="690"/>
      <c r="D26" s="690"/>
      <c r="E26" s="690"/>
      <c r="F26" s="690"/>
      <c r="G26" s="689"/>
      <c r="H26" s="1124"/>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1125" t="s">
        <v>3487</v>
      </c>
      <c r="C30" s="690"/>
      <c r="D30" s="690"/>
      <c r="E30" s="690"/>
      <c r="F30" s="690"/>
      <c r="G30" s="689"/>
      <c r="H30" s="1124"/>
    </row>
    <row r="31" spans="2:18" ht="21" customHeight="1">
      <c r="B31" s="690" t="s">
        <v>3410</v>
      </c>
      <c r="C31" s="690"/>
      <c r="D31" s="690"/>
      <c r="E31" s="690"/>
      <c r="F31" s="690"/>
      <c r="G31" s="601"/>
      <c r="H31" s="1124">
        <f>+'44-Utility5'!I37</f>
        <v>0</v>
      </c>
      <c r="J31" s="739"/>
    </row>
    <row r="32" spans="2:18" ht="21" customHeight="1">
      <c r="B32" s="690" t="s">
        <v>3409</v>
      </c>
      <c r="C32" s="690"/>
      <c r="D32" s="690"/>
      <c r="E32" s="690"/>
      <c r="F32" s="690"/>
      <c r="G32" s="601"/>
      <c r="H32" s="609"/>
    </row>
    <row r="33" spans="2:18" ht="21" customHeight="1">
      <c r="B33" s="690" t="s">
        <v>3408</v>
      </c>
      <c r="C33" s="690"/>
      <c r="D33" s="690"/>
      <c r="E33" s="690"/>
      <c r="F33" s="690"/>
      <c r="G33" s="601"/>
      <c r="H33" s="1126">
        <f>+'49-Utility5'!I29+'49a-Utility5'!I29+'50-Utility5'!M24+'49a.1-Utility5'!I29</f>
        <v>0</v>
      </c>
      <c r="J33" s="739"/>
    </row>
    <row r="34" spans="2:18" ht="21" customHeight="1">
      <c r="B34" s="648" t="s">
        <v>3495</v>
      </c>
      <c r="C34" s="648"/>
      <c r="D34" s="648"/>
      <c r="E34" s="648"/>
      <c r="F34" s="652"/>
      <c r="G34" s="601"/>
      <c r="H34" s="609"/>
    </row>
    <row r="35" spans="2:18" ht="21" customHeight="1">
      <c r="B35" s="648"/>
      <c r="C35" s="648"/>
      <c r="D35" s="648"/>
      <c r="E35" s="648"/>
      <c r="F35" s="648"/>
      <c r="G35" s="601"/>
      <c r="H35" s="609"/>
      <c r="L35" s="322"/>
      <c r="M35" s="322"/>
      <c r="N35" s="322"/>
      <c r="O35" s="322"/>
      <c r="P35" s="322"/>
      <c r="Q35" s="322"/>
      <c r="R35" s="322"/>
    </row>
    <row r="36" spans="2:18" ht="21" customHeight="1">
      <c r="B36" s="648"/>
      <c r="C36" s="648"/>
      <c r="D36" s="648"/>
      <c r="E36" s="648"/>
      <c r="F36" s="648"/>
      <c r="G36" s="601"/>
      <c r="H36" s="609"/>
      <c r="J36" s="739"/>
      <c r="L36" s="322"/>
      <c r="M36" s="322"/>
      <c r="N36" s="322"/>
      <c r="O36" s="322"/>
      <c r="P36" s="322"/>
      <c r="Q36" s="322"/>
      <c r="R36" s="322"/>
    </row>
    <row r="37" spans="2:18" ht="21" customHeight="1">
      <c r="B37" s="648"/>
      <c r="C37" s="648"/>
      <c r="D37" s="648"/>
      <c r="E37" s="648"/>
      <c r="F37" s="648"/>
      <c r="G37" s="601"/>
      <c r="H37" s="609"/>
      <c r="J37" s="739"/>
      <c r="L37" s="322"/>
      <c r="M37" s="322"/>
      <c r="N37" s="322"/>
      <c r="O37" s="322"/>
      <c r="P37" s="322"/>
      <c r="Q37" s="322"/>
      <c r="R37" s="322"/>
    </row>
    <row r="38" spans="2:18" ht="21" customHeight="1" thickBot="1">
      <c r="B38" s="648"/>
      <c r="C38" s="648"/>
      <c r="D38" s="648"/>
      <c r="E38" s="648"/>
      <c r="F38" s="648"/>
      <c r="G38" s="601"/>
      <c r="H38" s="633"/>
      <c r="L38" s="322"/>
      <c r="M38" s="322"/>
      <c r="N38" s="322"/>
      <c r="O38" s="322"/>
      <c r="P38" s="322"/>
      <c r="Q38" s="322"/>
      <c r="R38" s="322"/>
    </row>
    <row r="39" spans="2:18" ht="21" customHeight="1" thickTop="1">
      <c r="B39" s="690"/>
      <c r="C39" s="690" t="s">
        <v>3407</v>
      </c>
      <c r="D39" s="690"/>
      <c r="E39" s="690"/>
      <c r="F39" s="1284"/>
      <c r="G39" s="1285"/>
      <c r="H39" s="1127">
        <f>SUM(H30:H38)</f>
        <v>0</v>
      </c>
      <c r="I39" s="398" t="s">
        <v>997</v>
      </c>
    </row>
    <row r="40" spans="2:18" ht="21" customHeight="1">
      <c r="B40" s="1128" t="s">
        <v>3496</v>
      </c>
      <c r="C40" s="1128"/>
      <c r="D40" s="1128"/>
      <c r="E40" s="1128"/>
      <c r="F40" s="1128"/>
      <c r="G40" s="1123"/>
      <c r="H40" s="1111"/>
    </row>
    <row r="41" spans="2:18" ht="21" customHeight="1">
      <c r="B41" s="690"/>
      <c r="C41" s="690"/>
      <c r="D41" s="690"/>
      <c r="E41" s="690"/>
      <c r="F41" s="690"/>
      <c r="G41" s="689"/>
      <c r="H41" s="1124"/>
    </row>
    <row r="42" spans="2:18" ht="21" customHeight="1">
      <c r="B42" s="690" t="s">
        <v>777</v>
      </c>
      <c r="C42" s="690"/>
      <c r="D42" s="690"/>
      <c r="E42" s="690"/>
      <c r="F42" s="690"/>
      <c r="G42" s="689"/>
      <c r="H42" s="1124">
        <f>+'46-Utility5'!K27</f>
        <v>0</v>
      </c>
    </row>
    <row r="43" spans="2:18" ht="21" customHeight="1" thickBot="1">
      <c r="B43" s="690"/>
      <c r="C43" s="690"/>
      <c r="D43" s="690"/>
      <c r="E43" s="690"/>
      <c r="F43" s="690"/>
      <c r="G43" s="1129"/>
      <c r="H43" s="1130"/>
    </row>
    <row r="44" spans="2:18" ht="21" customHeight="1" thickBot="1">
      <c r="B44" s="690" t="s">
        <v>3497</v>
      </c>
      <c r="C44" s="690"/>
      <c r="D44" s="690"/>
      <c r="E44" s="690"/>
      <c r="F44" s="690"/>
      <c r="G44" s="1131">
        <f>SUM(G12:G43)</f>
        <v>0</v>
      </c>
      <c r="H44" s="1132">
        <f>SUM(H39:H43)</f>
        <v>0</v>
      </c>
      <c r="J44" s="399">
        <f>G44-H44</f>
        <v>0</v>
      </c>
    </row>
    <row r="45" spans="2:18" ht="13.8" thickTop="1">
      <c r="B45" s="1864" t="s">
        <v>127</v>
      </c>
      <c r="C45" s="1864"/>
      <c r="D45" s="1864"/>
      <c r="E45" s="1864"/>
      <c r="F45" s="1864"/>
      <c r="G45" s="1864"/>
      <c r="H45" s="1864"/>
    </row>
    <row r="46" spans="2:18">
      <c r="B46" s="1299"/>
      <c r="C46" s="1299"/>
      <c r="D46" s="1299"/>
      <c r="E46" s="1299"/>
      <c r="F46" s="1299"/>
      <c r="G46" s="1299"/>
      <c r="H46" s="1299"/>
    </row>
    <row r="47" spans="2:18">
      <c r="B47" s="1299"/>
      <c r="C47" s="1299"/>
      <c r="D47" s="1299"/>
      <c r="E47" s="1299"/>
      <c r="F47" s="1299"/>
      <c r="G47" s="1299"/>
      <c r="H47" s="1299"/>
    </row>
    <row r="48" spans="2:18">
      <c r="B48" s="1299"/>
      <c r="C48" s="1299"/>
      <c r="D48" s="1299"/>
      <c r="E48" s="1299"/>
      <c r="F48" s="1299"/>
      <c r="G48" s="1299"/>
      <c r="H48" s="1299"/>
    </row>
    <row r="49" spans="2:8">
      <c r="B49" s="1299"/>
      <c r="C49" s="1299"/>
      <c r="D49" s="1299"/>
      <c r="E49" s="1299"/>
      <c r="F49" s="1299"/>
      <c r="G49" s="1299"/>
      <c r="H49" s="1299"/>
    </row>
    <row r="50" spans="2:8" ht="13.8">
      <c r="B50" s="1950" t="s">
        <v>3405</v>
      </c>
      <c r="C50" s="1950"/>
      <c r="D50" s="1950"/>
      <c r="E50" s="1950"/>
      <c r="F50" s="1950"/>
      <c r="G50" s="1950"/>
      <c r="H50" s="1950"/>
    </row>
    <row r="54" spans="2:8">
      <c r="H54" s="399"/>
    </row>
    <row r="57" spans="2:8">
      <c r="H57" s="399">
        <f>+H44-G44</f>
        <v>0</v>
      </c>
    </row>
  </sheetData>
  <sheetProtection algorithmName="SHA-512" hashValue="OFZ5KxDNUvTaqzkx+cU7XbfE2Q/bO9IbzPZVfV3NtDpzSHCgpCkG+m/n942+PPVvJHNEFYmr9MMeuDCRjNL+IA==" saltValue="vIuSxjn6ny9u8nZPe8mH7Q==" spinCount="100000" sheet="1" objects="1" scenarios="1"/>
  <customSheetViews>
    <customSheetView guid="{AC653BD0-46E3-42CB-9C76-32121A57B65A}" topLeftCell="A13">
      <selection activeCell="H26" sqref="H26"/>
      <pageMargins left="0.25" right="0.25" top="0.5" bottom="0.5" header="0.25" footer="0.25"/>
      <pageSetup paperSize="5" orientation="portrait" r:id="rId1"/>
      <headerFooter alignWithMargins="0"/>
    </customSheetView>
    <customSheetView guid="{B165479B-DC25-403C-9595-F1A88A4AA9A2}" topLeftCell="A13">
      <selection activeCell="H26" sqref="H26"/>
      <pageMargins left="0.25" right="0.25" top="0.5" bottom="0.5" header="0.25" footer="0.25"/>
      <pageSetup paperSize="5" orientation="portrait" r:id="rId2"/>
      <headerFooter alignWithMargins="0"/>
    </customSheetView>
    <customSheetView guid="{A64E4C9E-A3DA-4AAA-8607-F524450B9436}" topLeftCell="A13">
      <selection activeCell="H26" sqref="H26"/>
      <pageMargins left="0.25" right="0.25" top="0.5" bottom="0.5" header="0.25" footer="0.25"/>
      <pageSetup paperSize="5" orientation="portrait" r:id="rId3"/>
      <headerFooter alignWithMargins="0"/>
    </customSheetView>
    <customSheetView guid="{AB4FBD91-4533-473A-9702-569FF6402073}" topLeftCell="A13">
      <selection activeCell="H26" sqref="H26"/>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8">
    <tabColor theme="7" tint="0.39997558519241921"/>
  </sheetPr>
  <dimension ref="B1:Q55"/>
  <sheetViews>
    <sheetView zoomScaleNormal="100" zoomScaleSheetLayoutView="80" workbookViewId="0">
      <selection activeCell="B1" sqref="B1"/>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1" spans="2:17">
      <c r="B1" s="1114"/>
      <c r="C1" s="1114"/>
      <c r="D1" s="1114"/>
      <c r="E1" s="1114"/>
      <c r="F1" s="1114"/>
      <c r="G1" s="1114"/>
      <c r="H1" s="1114"/>
    </row>
    <row r="2" spans="2:17">
      <c r="B2" s="1758" t="s">
        <v>37</v>
      </c>
      <c r="C2" s="1758"/>
      <c r="D2" s="1758"/>
      <c r="E2" s="1758"/>
      <c r="F2" s="1758"/>
      <c r="G2" s="1758"/>
      <c r="H2" s="1758"/>
    </row>
    <row r="3" spans="2:17">
      <c r="B3" s="1758" t="s">
        <v>572</v>
      </c>
      <c r="C3" s="1758"/>
      <c r="D3" s="1758"/>
      <c r="E3" s="1758"/>
      <c r="F3" s="1758"/>
      <c r="G3" s="1758"/>
      <c r="H3" s="1758"/>
    </row>
    <row r="4" spans="2:17">
      <c r="B4" s="1114"/>
      <c r="C4" s="1114"/>
      <c r="D4" s="1114"/>
      <c r="E4" s="1114"/>
      <c r="F4" s="1114"/>
      <c r="G4" s="1114"/>
      <c r="H4" s="1114"/>
    </row>
    <row r="5" spans="2:17" ht="22.8">
      <c r="B5" s="1759" t="s">
        <v>543</v>
      </c>
      <c r="C5" s="1759"/>
      <c r="D5" s="1759"/>
      <c r="E5" s="1759"/>
      <c r="F5" s="1759"/>
      <c r="G5" s="1759"/>
      <c r="H5" s="1759"/>
    </row>
    <row r="6" spans="2:17" ht="22.8">
      <c r="B6" s="1759" t="str">
        <f>"TRIAL  BALANCE - "&amp;UPPER('KEY INPUTS'!D56)&amp;"  UTILITY  FUND (cont'd)"</f>
        <v>TRIAL  BALANCE -   UTILITY  FUND (cont'd)</v>
      </c>
      <c r="C6" s="1759"/>
      <c r="D6" s="1759"/>
      <c r="E6" s="1759"/>
      <c r="F6" s="1759"/>
      <c r="G6" s="1759"/>
      <c r="H6" s="1759"/>
    </row>
    <row r="7" spans="2:17" ht="15.6">
      <c r="B7" s="1760" t="str">
        <f>'KEY INPUTS'!D44</f>
        <v>AS  AT  DECEMBER  31, 2019</v>
      </c>
      <c r="C7" s="1761"/>
      <c r="D7" s="1761"/>
      <c r="E7" s="1761"/>
      <c r="F7" s="1761"/>
      <c r="G7" s="1761"/>
      <c r="H7" s="1761"/>
    </row>
    <row r="8" spans="2:17" ht="15.6">
      <c r="B8" s="1766" t="s">
        <v>573</v>
      </c>
      <c r="C8" s="1766"/>
      <c r="D8" s="1766"/>
      <c r="E8" s="1766"/>
      <c r="F8" s="1766"/>
      <c r="G8" s="1766"/>
      <c r="H8" s="1766"/>
    </row>
    <row r="9" spans="2:17">
      <c r="B9" s="1767" t="s">
        <v>79</v>
      </c>
      <c r="C9" s="1767"/>
      <c r="D9" s="1767"/>
      <c r="E9" s="1767"/>
      <c r="F9" s="1767"/>
      <c r="G9" s="1767"/>
      <c r="H9" s="1767"/>
    </row>
    <row r="10" spans="2:17" ht="15" customHeight="1" thickBot="1">
      <c r="B10" s="1768" t="s">
        <v>80</v>
      </c>
      <c r="C10" s="1768"/>
      <c r="D10" s="1768"/>
      <c r="E10" s="1768"/>
      <c r="F10" s="1768"/>
      <c r="G10" s="1768"/>
      <c r="H10" s="1768"/>
    </row>
    <row r="11" spans="2:17" ht="36" customHeight="1" thickTop="1" thickBot="1">
      <c r="B11" s="1762" t="s">
        <v>124</v>
      </c>
      <c r="C11" s="1762"/>
      <c r="D11" s="1762"/>
      <c r="E11" s="1762"/>
      <c r="F11" s="1763"/>
      <c r="G11" s="1115" t="s">
        <v>125</v>
      </c>
      <c r="H11" s="1116" t="s">
        <v>126</v>
      </c>
    </row>
    <row r="12" spans="2:17" ht="21" customHeight="1" thickTop="1">
      <c r="B12" s="1114"/>
      <c r="C12" s="1114"/>
      <c r="D12" s="1114"/>
      <c r="E12" s="1114"/>
      <c r="F12" s="1114"/>
      <c r="G12" s="1117"/>
      <c r="H12" s="1118"/>
    </row>
    <row r="13" spans="2:17" ht="21" customHeight="1">
      <c r="B13" s="1125" t="s">
        <v>808</v>
      </c>
      <c r="C13" s="690"/>
      <c r="D13" s="690"/>
      <c r="E13" s="690"/>
      <c r="F13" s="690"/>
      <c r="G13" s="689"/>
      <c r="H13" s="1124"/>
      <c r="K13" s="322"/>
      <c r="L13" s="322"/>
      <c r="M13" s="322"/>
      <c r="N13" s="322"/>
      <c r="O13" s="322"/>
      <c r="P13" s="322"/>
      <c r="Q13" s="322"/>
    </row>
    <row r="14" spans="2:17" ht="21" customHeight="1">
      <c r="B14" s="690"/>
      <c r="C14" s="690"/>
      <c r="D14" s="690"/>
      <c r="E14" s="690"/>
      <c r="F14" s="690"/>
      <c r="G14" s="689"/>
      <c r="H14" s="1124"/>
      <c r="K14" s="322"/>
      <c r="L14" s="322"/>
      <c r="M14" s="322"/>
      <c r="N14" s="322"/>
      <c r="O14" s="322"/>
      <c r="P14" s="322"/>
      <c r="Q14" s="322"/>
    </row>
    <row r="15" spans="2:17" ht="21" customHeight="1">
      <c r="B15" s="1114" t="s">
        <v>251</v>
      </c>
      <c r="C15" s="690"/>
      <c r="D15" s="690"/>
      <c r="E15" s="690"/>
      <c r="F15" s="690"/>
      <c r="G15" s="372"/>
      <c r="H15" s="1300" t="s">
        <v>787</v>
      </c>
      <c r="K15" s="377"/>
      <c r="L15" s="322"/>
      <c r="M15" s="322"/>
      <c r="N15" s="322"/>
      <c r="O15" s="322"/>
      <c r="P15" s="322"/>
      <c r="Q15" s="322"/>
    </row>
    <row r="16" spans="2:17" ht="21" customHeight="1">
      <c r="B16" s="690" t="s">
        <v>252</v>
      </c>
      <c r="C16" s="690"/>
      <c r="D16" s="690"/>
      <c r="E16" s="690"/>
      <c r="F16" s="690"/>
      <c r="G16" s="1174" t="s">
        <v>787</v>
      </c>
      <c r="H16" s="913">
        <f>+G15</f>
        <v>0</v>
      </c>
      <c r="K16" s="322"/>
      <c r="L16" s="322"/>
      <c r="M16" s="322"/>
      <c r="N16" s="322"/>
      <c r="O16" s="322"/>
      <c r="P16" s="322"/>
      <c r="Q16" s="322"/>
    </row>
    <row r="17" spans="2:17" ht="21" customHeight="1">
      <c r="B17" s="690"/>
      <c r="C17" s="690"/>
      <c r="D17" s="690"/>
      <c r="E17" s="690"/>
      <c r="F17" s="690"/>
      <c r="G17" s="906"/>
      <c r="H17" s="913"/>
      <c r="K17" s="322"/>
      <c r="L17" s="322"/>
      <c r="M17" s="322"/>
      <c r="N17" s="322"/>
      <c r="O17" s="322"/>
      <c r="P17" s="322"/>
      <c r="Q17" s="322"/>
    </row>
    <row r="18" spans="2:17" ht="21" customHeight="1">
      <c r="B18" s="690"/>
      <c r="C18" s="690" t="s">
        <v>459</v>
      </c>
      <c r="D18" s="690"/>
      <c r="E18" s="690"/>
      <c r="F18" s="690"/>
      <c r="G18" s="372"/>
      <c r="H18" s="568"/>
      <c r="K18" s="322"/>
      <c r="L18" s="322"/>
      <c r="M18" s="322"/>
      <c r="N18" s="322"/>
      <c r="O18" s="322"/>
      <c r="P18" s="322"/>
      <c r="Q18" s="322"/>
    </row>
    <row r="19" spans="2:17" ht="21" customHeight="1">
      <c r="B19" s="402"/>
      <c r="C19" s="648"/>
      <c r="D19" s="648"/>
      <c r="E19" s="648"/>
      <c r="F19" s="648"/>
      <c r="G19" s="372"/>
      <c r="H19" s="568"/>
      <c r="K19" s="322"/>
      <c r="L19" s="322"/>
      <c r="M19" s="322"/>
      <c r="N19" s="322"/>
      <c r="O19" s="322"/>
      <c r="P19" s="322"/>
      <c r="Q19" s="322"/>
    </row>
    <row r="20" spans="2:17" ht="21" customHeight="1">
      <c r="B20" s="690"/>
      <c r="C20" s="690" t="s">
        <v>1153</v>
      </c>
      <c r="D20" s="690"/>
      <c r="E20" s="690"/>
      <c r="F20" s="690"/>
      <c r="G20" s="372"/>
      <c r="H20" s="568"/>
      <c r="K20" s="322"/>
      <c r="L20" s="322"/>
      <c r="M20" s="322"/>
      <c r="N20" s="322"/>
      <c r="O20" s="322"/>
      <c r="P20" s="322"/>
      <c r="Q20" s="322"/>
    </row>
    <row r="21" spans="2:17" ht="21" customHeight="1">
      <c r="B21" s="690"/>
      <c r="C21" s="690" t="s">
        <v>809</v>
      </c>
      <c r="D21" s="690"/>
      <c r="E21" s="690"/>
      <c r="F21" s="690"/>
      <c r="G21" s="906"/>
      <c r="H21" s="907"/>
      <c r="K21" s="322"/>
      <c r="L21" s="322"/>
      <c r="M21" s="322"/>
      <c r="N21" s="322"/>
      <c r="O21" s="322"/>
      <c r="P21" s="322"/>
      <c r="Q21" s="322"/>
    </row>
    <row r="22" spans="2:17" ht="21" customHeight="1">
      <c r="B22" s="690"/>
      <c r="C22" s="690"/>
      <c r="D22" s="690" t="s">
        <v>104</v>
      </c>
      <c r="E22" s="690"/>
      <c r="F22" s="690"/>
      <c r="G22" s="372"/>
      <c r="H22" s="568"/>
      <c r="K22" s="322"/>
      <c r="L22" s="322"/>
      <c r="M22" s="322"/>
      <c r="N22" s="322"/>
      <c r="O22" s="322"/>
      <c r="P22" s="322"/>
      <c r="Q22" s="322"/>
    </row>
    <row r="23" spans="2:17" ht="21" customHeight="1">
      <c r="B23" s="690"/>
      <c r="C23" s="690"/>
      <c r="D23" s="690" t="s">
        <v>837</v>
      </c>
      <c r="E23" s="690"/>
      <c r="F23" s="690"/>
      <c r="G23" s="372"/>
      <c r="H23" s="568"/>
      <c r="K23" s="322"/>
      <c r="L23" s="322"/>
      <c r="M23" s="322"/>
      <c r="N23" s="322"/>
      <c r="O23" s="322"/>
      <c r="P23" s="322"/>
      <c r="Q23" s="322"/>
    </row>
    <row r="24" spans="2:17" ht="21" customHeight="1">
      <c r="B24" s="402"/>
      <c r="C24" s="648"/>
      <c r="D24" s="648" t="s">
        <v>3406</v>
      </c>
      <c r="E24" s="648"/>
      <c r="F24" s="648"/>
      <c r="G24" s="372"/>
      <c r="H24" s="589"/>
      <c r="K24" s="322"/>
      <c r="L24" s="322"/>
      <c r="M24" s="322"/>
      <c r="N24" s="322"/>
      <c r="O24" s="322"/>
      <c r="P24" s="322"/>
      <c r="Q24" s="322"/>
    </row>
    <row r="25" spans="2:17" ht="21" customHeight="1">
      <c r="B25" s="402"/>
      <c r="C25" s="648"/>
      <c r="D25" s="648" t="s">
        <v>3406</v>
      </c>
      <c r="E25" s="648"/>
      <c r="F25" s="648"/>
      <c r="G25" s="372"/>
      <c r="H25" s="589" t="s">
        <v>3406</v>
      </c>
    </row>
    <row r="26" spans="2:17" ht="21" customHeight="1">
      <c r="B26" s="402"/>
      <c r="C26" s="649"/>
      <c r="D26" s="648"/>
      <c r="E26" s="648"/>
      <c r="F26" s="648"/>
      <c r="G26" s="372"/>
      <c r="H26" s="651"/>
    </row>
    <row r="27" spans="2:17" ht="21" customHeight="1">
      <c r="B27" s="402"/>
      <c r="C27" s="648" t="s">
        <v>3406</v>
      </c>
      <c r="D27" s="648"/>
      <c r="E27" s="648"/>
      <c r="F27" s="648"/>
      <c r="G27" s="372"/>
      <c r="H27" s="589" t="s">
        <v>3406</v>
      </c>
    </row>
    <row r="28" spans="2:17" ht="21" customHeight="1">
      <c r="B28" s="402"/>
      <c r="C28" s="648"/>
      <c r="D28" s="648"/>
      <c r="E28" s="648"/>
      <c r="F28" s="648"/>
      <c r="G28" s="372"/>
      <c r="H28" s="589"/>
    </row>
    <row r="29" spans="2:17" ht="21" customHeight="1">
      <c r="B29" s="402"/>
      <c r="C29" s="648"/>
      <c r="D29" s="648" t="s">
        <v>3406</v>
      </c>
      <c r="E29" s="648"/>
      <c r="F29" s="648"/>
      <c r="G29" s="372"/>
      <c r="H29" s="589"/>
      <c r="K29" s="322"/>
      <c r="L29" s="322"/>
      <c r="M29" s="322"/>
      <c r="N29" s="322"/>
      <c r="O29" s="322"/>
      <c r="P29" s="322"/>
      <c r="Q29" s="322"/>
    </row>
    <row r="30" spans="2:17" ht="21" customHeight="1">
      <c r="B30" s="402"/>
      <c r="C30" s="648"/>
      <c r="D30" s="648" t="s">
        <v>3406</v>
      </c>
      <c r="E30" s="648"/>
      <c r="F30" s="648"/>
      <c r="G30" s="372"/>
      <c r="H30" s="589"/>
      <c r="K30" s="322"/>
      <c r="L30" s="322"/>
      <c r="M30" s="322"/>
      <c r="N30" s="322"/>
      <c r="O30" s="322"/>
      <c r="P30" s="322"/>
      <c r="Q30" s="322"/>
    </row>
    <row r="31" spans="2:17" ht="21" customHeight="1">
      <c r="B31" s="402"/>
      <c r="C31" s="648"/>
      <c r="D31" s="648" t="s">
        <v>3406</v>
      </c>
      <c r="E31" s="648"/>
      <c r="F31" s="648"/>
      <c r="G31" s="372"/>
      <c r="H31" s="589" t="s">
        <v>3406</v>
      </c>
    </row>
    <row r="32" spans="2:17" ht="21" customHeight="1">
      <c r="B32" s="402"/>
      <c r="C32" s="649"/>
      <c r="D32" s="648"/>
      <c r="E32" s="648"/>
      <c r="F32" s="648"/>
      <c r="G32" s="372"/>
      <c r="H32" s="651"/>
    </row>
    <row r="33" spans="2:17" ht="21" customHeight="1">
      <c r="B33" s="402"/>
      <c r="C33" s="648" t="s">
        <v>3406</v>
      </c>
      <c r="D33" s="648"/>
      <c r="E33" s="648"/>
      <c r="F33" s="648"/>
      <c r="G33" s="372"/>
      <c r="H33" s="589" t="s">
        <v>3406</v>
      </c>
    </row>
    <row r="34" spans="2:17" ht="21" customHeight="1">
      <c r="B34" s="402"/>
      <c r="C34" s="648"/>
      <c r="D34" s="648"/>
      <c r="E34" s="648"/>
      <c r="F34" s="648"/>
      <c r="G34" s="372"/>
      <c r="H34" s="589"/>
    </row>
    <row r="35" spans="2:17" ht="21" customHeight="1">
      <c r="B35" s="402"/>
      <c r="C35" s="648"/>
      <c r="D35" s="648" t="s">
        <v>3406</v>
      </c>
      <c r="E35" s="648"/>
      <c r="F35" s="648"/>
      <c r="G35" s="372"/>
      <c r="H35" s="589"/>
      <c r="K35" s="322"/>
      <c r="L35" s="322"/>
      <c r="M35" s="322"/>
      <c r="N35" s="322"/>
      <c r="O35" s="322"/>
      <c r="P35" s="322"/>
      <c r="Q35" s="322"/>
    </row>
    <row r="36" spans="2:17" ht="21" customHeight="1">
      <c r="B36" s="402"/>
      <c r="C36" s="648"/>
      <c r="D36" s="648" t="s">
        <v>3406</v>
      </c>
      <c r="E36" s="648"/>
      <c r="F36" s="648"/>
      <c r="G36" s="372"/>
      <c r="H36" s="589" t="s">
        <v>3406</v>
      </c>
    </row>
    <row r="37" spans="2:17" ht="21" customHeight="1">
      <c r="B37" s="402"/>
      <c r="C37" s="649"/>
      <c r="D37" s="648"/>
      <c r="E37" s="648"/>
      <c r="F37" s="648"/>
      <c r="G37" s="372"/>
      <c r="H37" s="651"/>
    </row>
    <row r="38" spans="2:17" ht="21" customHeight="1">
      <c r="B38" s="402"/>
      <c r="C38" s="648" t="s">
        <v>3406</v>
      </c>
      <c r="D38" s="648"/>
      <c r="E38" s="648"/>
      <c r="F38" s="648"/>
      <c r="G38" s="372"/>
      <c r="H38" s="589" t="s">
        <v>3406</v>
      </c>
    </row>
    <row r="39" spans="2:17" ht="21" customHeight="1">
      <c r="B39" s="402"/>
      <c r="C39" s="648"/>
      <c r="D39" s="648"/>
      <c r="E39" s="648"/>
      <c r="F39" s="648"/>
      <c r="G39" s="372"/>
      <c r="H39" s="589"/>
    </row>
    <row r="40" spans="2:17" ht="21" customHeight="1">
      <c r="B40" s="402"/>
      <c r="C40" s="648"/>
      <c r="D40" s="648"/>
      <c r="E40" s="648"/>
      <c r="F40" s="648"/>
      <c r="G40" s="372"/>
      <c r="H40" s="589"/>
    </row>
    <row r="41" spans="2:17" ht="21" customHeight="1">
      <c r="B41" s="402"/>
      <c r="C41" s="648" t="s">
        <v>3406</v>
      </c>
      <c r="D41" s="648"/>
      <c r="E41" s="648"/>
      <c r="F41" s="648"/>
      <c r="G41" s="372"/>
      <c r="H41" s="589" t="s">
        <v>3406</v>
      </c>
    </row>
    <row r="42" spans="2:17" ht="21" customHeight="1">
      <c r="B42" s="402"/>
      <c r="C42" s="648" t="s">
        <v>3406</v>
      </c>
      <c r="D42" s="648"/>
      <c r="E42" s="648"/>
      <c r="F42" s="648"/>
      <c r="G42" s="372"/>
      <c r="H42" s="589" t="s">
        <v>3406</v>
      </c>
    </row>
    <row r="43" spans="2:17" ht="21" customHeight="1" thickBot="1">
      <c r="B43" s="690"/>
      <c r="C43" s="690"/>
      <c r="D43" s="690"/>
      <c r="E43" s="690"/>
      <c r="F43" s="690"/>
      <c r="G43" s="1294"/>
      <c r="H43" s="1295"/>
      <c r="I43" s="399"/>
      <c r="M43" s="399"/>
    </row>
    <row r="44" spans="2:17" ht="21" customHeight="1" thickBot="1">
      <c r="B44" s="690"/>
      <c r="C44" s="690" t="s">
        <v>3545</v>
      </c>
      <c r="D44" s="690"/>
      <c r="E44" s="690"/>
      <c r="F44" s="690"/>
      <c r="G44" s="1296">
        <f>SUM(G15:G42)</f>
        <v>0</v>
      </c>
      <c r="H44" s="1297">
        <f>SUM(H15:H43)</f>
        <v>0</v>
      </c>
      <c r="I44" s="399"/>
      <c r="K44" s="399"/>
    </row>
    <row r="45" spans="2:17" ht="13.8" thickTop="1">
      <c r="B45" s="1917" t="s">
        <v>127</v>
      </c>
      <c r="C45" s="1917"/>
      <c r="D45" s="1917"/>
      <c r="E45" s="1917"/>
      <c r="F45" s="1917"/>
      <c r="G45" s="1918"/>
      <c r="H45" s="1918"/>
    </row>
    <row r="46" spans="2:17">
      <c r="B46" s="1299"/>
      <c r="C46" s="1299"/>
      <c r="D46" s="1299"/>
      <c r="E46" s="1299"/>
      <c r="F46" s="1299"/>
      <c r="G46" s="1299"/>
      <c r="H46" s="1299"/>
    </row>
    <row r="47" spans="2:17">
      <c r="B47" s="1299"/>
      <c r="C47" s="1299"/>
      <c r="D47" s="1299"/>
      <c r="E47" s="1299"/>
      <c r="F47" s="1299"/>
      <c r="G47" s="1299"/>
      <c r="H47" s="1299"/>
    </row>
    <row r="48" spans="2:17">
      <c r="B48" s="1299"/>
      <c r="C48" s="1299"/>
      <c r="D48" s="1299"/>
      <c r="E48" s="1299"/>
      <c r="F48" s="1299"/>
      <c r="G48" s="1299"/>
      <c r="H48" s="1299"/>
    </row>
    <row r="49" spans="2:8">
      <c r="B49" s="1299"/>
      <c r="C49" s="1299"/>
      <c r="D49" s="1299"/>
      <c r="E49" s="1299"/>
      <c r="F49" s="1299"/>
      <c r="G49" s="1299"/>
      <c r="H49" s="1299"/>
    </row>
    <row r="50" spans="2:8" ht="13.8">
      <c r="B50" s="1950" t="s">
        <v>3411</v>
      </c>
      <c r="C50" s="1950"/>
      <c r="D50" s="1950"/>
      <c r="E50" s="1950"/>
      <c r="F50" s="1950"/>
      <c r="G50" s="1950"/>
      <c r="H50" s="1950"/>
    </row>
    <row r="55" spans="2:8">
      <c r="H55" s="399"/>
    </row>
  </sheetData>
  <sheetProtection algorithmName="SHA-512" hashValue="oTMONp2h1/vIh1KzlK45ZEqVhfA4b9PXkEyVdRxJ3sJS8sVVyPBZdCY1ArdHnT9KNuQQp18wXUm7zUK2/fuxKg==" saltValue="ACovUX+ZCIJpQDDk+qtdzA=="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B2:O52"/>
  <sheetViews>
    <sheetView topLeftCell="A34" zoomScaleNormal="100" workbookViewId="0">
      <selection activeCell="B3" sqref="B3:O3"/>
    </sheetView>
  </sheetViews>
  <sheetFormatPr defaultColWidth="9.109375" defaultRowHeight="13.2"/>
  <cols>
    <col min="1" max="3" width="4.6640625" style="322" customWidth="1"/>
    <col min="4" max="4" width="9.109375" style="322"/>
    <col min="5" max="5" width="11.88671875" style="322" customWidth="1"/>
    <col min="6" max="6" width="1.6640625" style="322" customWidth="1"/>
    <col min="7" max="7" width="14.6640625" style="322" customWidth="1"/>
    <col min="8" max="8" width="1.6640625" style="322" customWidth="1"/>
    <col min="9" max="9" width="14.6640625" style="322" customWidth="1"/>
    <col min="10" max="10" width="1.6640625" style="322" customWidth="1"/>
    <col min="11" max="11" width="14.6640625" style="322" customWidth="1"/>
    <col min="12" max="12" width="1.6640625" style="322" customWidth="1"/>
    <col min="13" max="13" width="14.6640625" style="322" customWidth="1"/>
    <col min="14" max="14" width="10.88671875" style="322" bestFit="1" customWidth="1"/>
    <col min="15" max="15" width="13.5546875" style="322" bestFit="1" customWidth="1"/>
    <col min="16" max="16384" width="9.109375" style="322"/>
  </cols>
  <sheetData>
    <row r="2" spans="2:15" ht="20.399999999999999">
      <c r="B2" s="1508" t="s">
        <v>3640</v>
      </c>
      <c r="C2" s="1508"/>
      <c r="D2" s="1508"/>
      <c r="E2" s="1508"/>
      <c r="F2" s="1508"/>
      <c r="G2" s="1508"/>
      <c r="H2" s="1508"/>
      <c r="I2" s="1508"/>
      <c r="J2" s="1508"/>
      <c r="K2" s="1508"/>
      <c r="L2" s="1508"/>
      <c r="M2" s="1508"/>
    </row>
    <row r="3" spans="2:15">
      <c r="B3" s="1511"/>
      <c r="C3" s="1511"/>
      <c r="D3" s="1511"/>
      <c r="E3" s="1511"/>
      <c r="F3" s="1511"/>
      <c r="G3" s="1511"/>
      <c r="H3" s="1511"/>
      <c r="I3" s="1511"/>
      <c r="J3" s="1511"/>
      <c r="K3" s="1511"/>
      <c r="L3" s="1511"/>
      <c r="M3" s="1511"/>
    </row>
    <row r="5" spans="2:15">
      <c r="B5" s="1572"/>
      <c r="C5" s="1572"/>
      <c r="D5" s="1572"/>
      <c r="G5" s="733" t="s">
        <v>533</v>
      </c>
      <c r="I5" s="735"/>
      <c r="K5" s="735"/>
    </row>
    <row r="6" spans="2:15">
      <c r="B6" s="1572"/>
      <c r="C6" s="1572"/>
      <c r="D6" s="1572"/>
      <c r="G6" s="297" t="str">
        <f>'KEY INPUTS'!D45</f>
        <v>Dec. 31, 2018</v>
      </c>
      <c r="I6" s="733"/>
      <c r="K6" s="733"/>
      <c r="M6" s="733" t="s">
        <v>671</v>
      </c>
    </row>
    <row r="7" spans="2:15">
      <c r="G7" s="733" t="s">
        <v>552</v>
      </c>
      <c r="I7" s="733"/>
      <c r="K7" s="733"/>
      <c r="M7" s="733" t="s">
        <v>556</v>
      </c>
    </row>
    <row r="8" spans="2:15">
      <c r="B8" s="1572" t="s">
        <v>532</v>
      </c>
      <c r="C8" s="1572"/>
      <c r="D8" s="1572"/>
      <c r="G8" s="735" t="s">
        <v>551</v>
      </c>
      <c r="I8" s="735" t="s">
        <v>546</v>
      </c>
      <c r="K8" s="735" t="s">
        <v>677</v>
      </c>
      <c r="M8" s="294" t="str">
        <f>'KEY INPUTS'!D46</f>
        <v>Dec. 31, 2019</v>
      </c>
    </row>
    <row r="9" spans="2:15">
      <c r="B9" s="735"/>
      <c r="C9" s="735"/>
      <c r="D9" s="735"/>
      <c r="G9" s="250"/>
      <c r="I9" s="735"/>
      <c r="K9" s="735"/>
      <c r="M9" s="133"/>
    </row>
    <row r="10" spans="2:15" ht="21" customHeight="1">
      <c r="B10" s="856" t="s">
        <v>3539</v>
      </c>
      <c r="C10" s="857"/>
      <c r="D10" s="857"/>
      <c r="E10" s="857"/>
      <c r="F10" s="839"/>
      <c r="G10" s="858">
        <f>+'6b.3-Trust Fund Reserves'!G48</f>
        <v>2842145.7200000007</v>
      </c>
      <c r="H10" s="839"/>
      <c r="I10" s="858">
        <f>+'6b.3-Trust Fund Reserves'!I48</f>
        <v>8873567.6899999995</v>
      </c>
      <c r="J10" s="839"/>
      <c r="K10" s="858">
        <f>+'6b.3-Trust Fund Reserves'!K48</f>
        <v>8562204.4100000001</v>
      </c>
      <c r="L10" s="839"/>
      <c r="M10" s="858">
        <f>+'6b.3-Trust Fund Reserves'!M48</f>
        <v>3153509</v>
      </c>
      <c r="N10" s="325"/>
      <c r="O10" s="325"/>
    </row>
    <row r="11" spans="2:15" ht="21" customHeight="1">
      <c r="B11" s="375"/>
      <c r="C11" s="375"/>
      <c r="D11" s="375"/>
      <c r="E11" s="375"/>
      <c r="F11" s="397"/>
      <c r="G11" s="376"/>
      <c r="H11" s="397"/>
      <c r="I11" s="376"/>
      <c r="J11" s="397"/>
      <c r="K11" s="376"/>
      <c r="L11" s="379"/>
      <c r="M11" s="855">
        <f t="shared" ref="M11:M47" si="0">+G11+I11-K11</f>
        <v>0</v>
      </c>
      <c r="N11" s="325"/>
    </row>
    <row r="12" spans="2:15" ht="21" customHeight="1">
      <c r="B12" s="375"/>
      <c r="C12" s="375"/>
      <c r="D12" s="375"/>
      <c r="E12" s="375"/>
      <c r="F12" s="397"/>
      <c r="G12" s="376"/>
      <c r="H12" s="397"/>
      <c r="I12" s="376"/>
      <c r="J12" s="397"/>
      <c r="K12" s="376"/>
      <c r="L12" s="379"/>
      <c r="M12" s="855">
        <f t="shared" si="0"/>
        <v>0</v>
      </c>
      <c r="N12" s="325"/>
    </row>
    <row r="13" spans="2:15" ht="21" customHeight="1">
      <c r="B13" s="375"/>
      <c r="C13" s="375"/>
      <c r="D13" s="375"/>
      <c r="E13" s="375"/>
      <c r="F13" s="397"/>
      <c r="G13" s="376"/>
      <c r="H13" s="397"/>
      <c r="I13" s="665"/>
      <c r="J13" s="397"/>
      <c r="K13" s="376"/>
      <c r="L13" s="379"/>
      <c r="M13" s="855">
        <f t="shared" si="0"/>
        <v>0</v>
      </c>
      <c r="N13" s="325"/>
      <c r="O13" s="377"/>
    </row>
    <row r="14" spans="2:15" ht="21" customHeight="1">
      <c r="B14" s="666"/>
      <c r="C14" s="375"/>
      <c r="D14" s="375"/>
      <c r="E14" s="375"/>
      <c r="F14" s="397"/>
      <c r="G14" s="376"/>
      <c r="H14" s="397"/>
      <c r="I14" s="376"/>
      <c r="J14" s="397"/>
      <c r="K14" s="376"/>
      <c r="L14" s="379"/>
      <c r="M14" s="855">
        <f t="shared" si="0"/>
        <v>0</v>
      </c>
      <c r="N14" s="325"/>
    </row>
    <row r="15" spans="2:15" ht="21" customHeight="1">
      <c r="B15" s="375"/>
      <c r="C15" s="375"/>
      <c r="D15" s="375"/>
      <c r="E15" s="375"/>
      <c r="F15" s="397"/>
      <c r="G15" s="376"/>
      <c r="H15" s="397"/>
      <c r="I15" s="376"/>
      <c r="J15" s="397"/>
      <c r="K15" s="376"/>
      <c r="L15" s="379"/>
      <c r="M15" s="855">
        <f t="shared" si="0"/>
        <v>0</v>
      </c>
      <c r="N15" s="325"/>
    </row>
    <row r="16" spans="2:15" ht="21" customHeight="1">
      <c r="B16" s="375"/>
      <c r="C16" s="375"/>
      <c r="D16" s="375"/>
      <c r="E16" s="375"/>
      <c r="F16" s="397"/>
      <c r="G16" s="376"/>
      <c r="H16" s="397"/>
      <c r="I16" s="376"/>
      <c r="J16" s="397"/>
      <c r="K16" s="376"/>
      <c r="L16" s="379"/>
      <c r="M16" s="855">
        <f t="shared" si="0"/>
        <v>0</v>
      </c>
      <c r="N16" s="325"/>
    </row>
    <row r="17" spans="2:14" ht="21" customHeight="1">
      <c r="B17" s="375"/>
      <c r="C17" s="375"/>
      <c r="D17" s="375"/>
      <c r="E17" s="375"/>
      <c r="F17" s="397"/>
      <c r="G17" s="376"/>
      <c r="H17" s="397"/>
      <c r="I17" s="376"/>
      <c r="J17" s="397"/>
      <c r="K17" s="376"/>
      <c r="L17" s="379"/>
      <c r="M17" s="855">
        <f t="shared" si="0"/>
        <v>0</v>
      </c>
      <c r="N17" s="325"/>
    </row>
    <row r="18" spans="2:14" ht="21" customHeight="1">
      <c r="B18" s="375"/>
      <c r="C18" s="375"/>
      <c r="D18" s="375"/>
      <c r="E18" s="375"/>
      <c r="F18" s="397"/>
      <c r="G18" s="376"/>
      <c r="H18" s="397"/>
      <c r="I18" s="376"/>
      <c r="J18" s="397"/>
      <c r="K18" s="376"/>
      <c r="L18" s="379"/>
      <c r="M18" s="855">
        <f t="shared" si="0"/>
        <v>0</v>
      </c>
      <c r="N18" s="325"/>
    </row>
    <row r="19" spans="2:14" ht="21" customHeight="1">
      <c r="B19" s="666"/>
      <c r="C19" s="375"/>
      <c r="D19" s="375"/>
      <c r="E19" s="375"/>
      <c r="F19" s="397"/>
      <c r="G19" s="376"/>
      <c r="H19" s="397"/>
      <c r="I19" s="376"/>
      <c r="J19" s="397"/>
      <c r="K19" s="376"/>
      <c r="L19" s="379"/>
      <c r="M19" s="855">
        <f t="shared" si="0"/>
        <v>0</v>
      </c>
      <c r="N19" s="325"/>
    </row>
    <row r="20" spans="2:14" ht="21" customHeight="1">
      <c r="B20" s="666"/>
      <c r="C20" s="375"/>
      <c r="D20" s="375"/>
      <c r="E20" s="375"/>
      <c r="F20" s="397"/>
      <c r="G20" s="376"/>
      <c r="H20" s="397"/>
      <c r="I20" s="376"/>
      <c r="J20" s="397"/>
      <c r="K20" s="376"/>
      <c r="L20" s="379"/>
      <c r="M20" s="855">
        <f t="shared" si="0"/>
        <v>0</v>
      </c>
      <c r="N20" s="325"/>
    </row>
    <row r="21" spans="2:14" ht="21" customHeight="1">
      <c r="B21" s="666"/>
      <c r="C21" s="375"/>
      <c r="D21" s="375"/>
      <c r="E21" s="375"/>
      <c r="F21" s="397"/>
      <c r="G21" s="376"/>
      <c r="H21" s="397"/>
      <c r="I21" s="376"/>
      <c r="J21" s="397"/>
      <c r="K21" s="376"/>
      <c r="L21" s="379"/>
      <c r="M21" s="855">
        <f t="shared" si="0"/>
        <v>0</v>
      </c>
      <c r="N21" s="325"/>
    </row>
    <row r="22" spans="2:14" ht="21" customHeight="1">
      <c r="B22" s="666"/>
      <c r="C22" s="375"/>
      <c r="D22" s="375"/>
      <c r="E22" s="375"/>
      <c r="F22" s="397"/>
      <c r="G22" s="376"/>
      <c r="H22" s="397"/>
      <c r="I22" s="376"/>
      <c r="J22" s="397"/>
      <c r="K22" s="376"/>
      <c r="L22" s="379"/>
      <c r="M22" s="855">
        <f t="shared" si="0"/>
        <v>0</v>
      </c>
      <c r="N22" s="325"/>
    </row>
    <row r="23" spans="2:14" ht="21" customHeight="1">
      <c r="B23" s="666"/>
      <c r="C23" s="375"/>
      <c r="D23" s="375"/>
      <c r="E23" s="375"/>
      <c r="F23" s="397"/>
      <c r="G23" s="376"/>
      <c r="H23" s="397"/>
      <c r="I23" s="376"/>
      <c r="J23" s="397"/>
      <c r="K23" s="376"/>
      <c r="L23" s="379"/>
      <c r="M23" s="855">
        <f t="shared" si="0"/>
        <v>0</v>
      </c>
      <c r="N23" s="325"/>
    </row>
    <row r="24" spans="2:14" ht="21" customHeight="1">
      <c r="B24" s="666"/>
      <c r="C24" s="375"/>
      <c r="D24" s="375"/>
      <c r="E24" s="375"/>
      <c r="F24" s="397"/>
      <c r="G24" s="376"/>
      <c r="H24" s="397"/>
      <c r="I24" s="376"/>
      <c r="J24" s="397"/>
      <c r="K24" s="376"/>
      <c r="L24" s="379"/>
      <c r="M24" s="855">
        <f t="shared" si="0"/>
        <v>0</v>
      </c>
      <c r="N24" s="325"/>
    </row>
    <row r="25" spans="2:14" ht="21" customHeight="1">
      <c r="B25" s="375"/>
      <c r="C25" s="375"/>
      <c r="D25" s="375"/>
      <c r="E25" s="375"/>
      <c r="F25" s="397"/>
      <c r="G25" s="376"/>
      <c r="H25" s="397"/>
      <c r="I25" s="376"/>
      <c r="J25" s="397"/>
      <c r="K25" s="376"/>
      <c r="L25" s="379"/>
      <c r="M25" s="855">
        <f t="shared" si="0"/>
        <v>0</v>
      </c>
      <c r="N25" s="325"/>
    </row>
    <row r="26" spans="2:14" ht="21" customHeight="1">
      <c r="B26" s="375"/>
      <c r="C26" s="375"/>
      <c r="D26" s="375"/>
      <c r="E26" s="375"/>
      <c r="F26" s="397"/>
      <c r="G26" s="376"/>
      <c r="H26" s="397"/>
      <c r="I26" s="376"/>
      <c r="J26" s="397"/>
      <c r="K26" s="376"/>
      <c r="L26" s="379"/>
      <c r="M26" s="855">
        <f t="shared" si="0"/>
        <v>0</v>
      </c>
    </row>
    <row r="27" spans="2:14" ht="21" customHeight="1">
      <c r="B27" s="375"/>
      <c r="C27" s="375"/>
      <c r="D27" s="375"/>
      <c r="E27" s="375"/>
      <c r="F27" s="397"/>
      <c r="G27" s="376"/>
      <c r="H27" s="397"/>
      <c r="I27" s="376"/>
      <c r="J27" s="397"/>
      <c r="K27" s="376"/>
      <c r="L27" s="379"/>
      <c r="M27" s="855">
        <f t="shared" si="0"/>
        <v>0</v>
      </c>
    </row>
    <row r="28" spans="2:14" ht="21" customHeight="1">
      <c r="B28" s="375"/>
      <c r="C28" s="375"/>
      <c r="D28" s="375"/>
      <c r="E28" s="375"/>
      <c r="F28" s="397"/>
      <c r="G28" s="376"/>
      <c r="H28" s="397"/>
      <c r="I28" s="376"/>
      <c r="J28" s="397"/>
      <c r="K28" s="376"/>
      <c r="L28" s="379"/>
      <c r="M28" s="855">
        <f t="shared" si="0"/>
        <v>0</v>
      </c>
    </row>
    <row r="29" spans="2:14" ht="21" customHeight="1">
      <c r="B29" s="375"/>
      <c r="C29" s="375"/>
      <c r="D29" s="375"/>
      <c r="E29" s="375"/>
      <c r="F29" s="397"/>
      <c r="G29" s="376"/>
      <c r="H29" s="397"/>
      <c r="I29" s="376"/>
      <c r="J29" s="397"/>
      <c r="K29" s="376"/>
      <c r="L29" s="379"/>
      <c r="M29" s="855">
        <f t="shared" si="0"/>
        <v>0</v>
      </c>
    </row>
    <row r="30" spans="2:14" ht="21" customHeight="1">
      <c r="B30" s="375"/>
      <c r="C30" s="375"/>
      <c r="D30" s="375"/>
      <c r="E30" s="375"/>
      <c r="F30" s="397"/>
      <c r="G30" s="376"/>
      <c r="H30" s="397"/>
      <c r="I30" s="376"/>
      <c r="J30" s="397"/>
      <c r="K30" s="376"/>
      <c r="L30" s="379"/>
      <c r="M30" s="855">
        <f t="shared" si="0"/>
        <v>0</v>
      </c>
    </row>
    <row r="31" spans="2:14" ht="21" customHeight="1">
      <c r="B31" s="375"/>
      <c r="C31" s="375"/>
      <c r="D31" s="375"/>
      <c r="E31" s="375"/>
      <c r="F31" s="397"/>
      <c r="G31" s="376"/>
      <c r="H31" s="397"/>
      <c r="I31" s="376"/>
      <c r="J31" s="397"/>
      <c r="K31" s="376"/>
      <c r="L31" s="379"/>
      <c r="M31" s="855">
        <f t="shared" si="0"/>
        <v>0</v>
      </c>
    </row>
    <row r="32" spans="2:14" ht="21" customHeight="1">
      <c r="B32" s="375"/>
      <c r="C32" s="375"/>
      <c r="D32" s="375"/>
      <c r="E32" s="375"/>
      <c r="F32" s="397"/>
      <c r="G32" s="376"/>
      <c r="H32" s="397"/>
      <c r="I32" s="376"/>
      <c r="J32" s="397"/>
      <c r="K32" s="376"/>
      <c r="L32" s="379"/>
      <c r="M32" s="855">
        <f t="shared" si="0"/>
        <v>0</v>
      </c>
    </row>
    <row r="33" spans="2:13" ht="21" customHeight="1">
      <c r="B33" s="375"/>
      <c r="C33" s="375"/>
      <c r="D33" s="375"/>
      <c r="E33" s="375"/>
      <c r="F33" s="397"/>
      <c r="G33" s="376"/>
      <c r="H33" s="397"/>
      <c r="I33" s="376"/>
      <c r="J33" s="397"/>
      <c r="K33" s="376"/>
      <c r="L33" s="379"/>
      <c r="M33" s="855">
        <f t="shared" si="0"/>
        <v>0</v>
      </c>
    </row>
    <row r="34" spans="2:13" ht="21" customHeight="1">
      <c r="B34" s="375"/>
      <c r="C34" s="375"/>
      <c r="D34" s="375"/>
      <c r="E34" s="375"/>
      <c r="F34" s="397"/>
      <c r="G34" s="376"/>
      <c r="H34" s="397"/>
      <c r="I34" s="376"/>
      <c r="J34" s="397"/>
      <c r="K34" s="376"/>
      <c r="L34" s="379"/>
      <c r="M34" s="855">
        <f t="shared" si="0"/>
        <v>0</v>
      </c>
    </row>
    <row r="35" spans="2:13" ht="21" customHeight="1">
      <c r="B35" s="375"/>
      <c r="C35" s="375"/>
      <c r="D35" s="375"/>
      <c r="E35" s="375"/>
      <c r="F35" s="397"/>
      <c r="G35" s="376"/>
      <c r="H35" s="397"/>
      <c r="I35" s="376"/>
      <c r="J35" s="397"/>
      <c r="K35" s="376"/>
      <c r="L35" s="379"/>
      <c r="M35" s="855">
        <f t="shared" si="0"/>
        <v>0</v>
      </c>
    </row>
    <row r="36" spans="2:13" ht="21" customHeight="1">
      <c r="B36" s="375"/>
      <c r="C36" s="375"/>
      <c r="D36" s="375"/>
      <c r="E36" s="375"/>
      <c r="F36" s="397"/>
      <c r="G36" s="376"/>
      <c r="H36" s="397"/>
      <c r="I36" s="376"/>
      <c r="J36" s="397"/>
      <c r="K36" s="376"/>
      <c r="L36" s="379"/>
      <c r="M36" s="855">
        <f t="shared" si="0"/>
        <v>0</v>
      </c>
    </row>
    <row r="37" spans="2:13" ht="21" customHeight="1">
      <c r="B37" s="375"/>
      <c r="C37" s="375"/>
      <c r="D37" s="375"/>
      <c r="E37" s="375"/>
      <c r="F37" s="397"/>
      <c r="G37" s="376"/>
      <c r="H37" s="397"/>
      <c r="I37" s="376"/>
      <c r="J37" s="397"/>
      <c r="K37" s="376"/>
      <c r="L37" s="379"/>
      <c r="M37" s="855">
        <f t="shared" si="0"/>
        <v>0</v>
      </c>
    </row>
    <row r="38" spans="2:13" ht="21" customHeight="1">
      <c r="B38" s="375"/>
      <c r="C38" s="375"/>
      <c r="D38" s="375"/>
      <c r="E38" s="375"/>
      <c r="F38" s="397"/>
      <c r="G38" s="376"/>
      <c r="H38" s="397"/>
      <c r="I38" s="376"/>
      <c r="J38" s="397"/>
      <c r="K38" s="376"/>
      <c r="L38" s="379"/>
      <c r="M38" s="855">
        <f t="shared" si="0"/>
        <v>0</v>
      </c>
    </row>
    <row r="39" spans="2:13" ht="21" customHeight="1">
      <c r="B39" s="375"/>
      <c r="C39" s="375"/>
      <c r="D39" s="375"/>
      <c r="E39" s="375"/>
      <c r="F39" s="397"/>
      <c r="G39" s="376"/>
      <c r="H39" s="397"/>
      <c r="I39" s="376"/>
      <c r="J39" s="397"/>
      <c r="K39" s="376"/>
      <c r="L39" s="379"/>
      <c r="M39" s="855">
        <f t="shared" si="0"/>
        <v>0</v>
      </c>
    </row>
    <row r="40" spans="2:13" ht="21" customHeight="1">
      <c r="B40" s="375"/>
      <c r="C40" s="375"/>
      <c r="D40" s="375"/>
      <c r="E40" s="375"/>
      <c r="F40" s="397"/>
      <c r="G40" s="376"/>
      <c r="H40" s="397"/>
      <c r="I40" s="376"/>
      <c r="J40" s="397"/>
      <c r="K40" s="376"/>
      <c r="L40" s="379"/>
      <c r="M40" s="855">
        <f t="shared" si="0"/>
        <v>0</v>
      </c>
    </row>
    <row r="41" spans="2:13" ht="21" customHeight="1">
      <c r="B41" s="375"/>
      <c r="C41" s="375"/>
      <c r="D41" s="375"/>
      <c r="E41" s="375"/>
      <c r="F41" s="397"/>
      <c r="G41" s="376"/>
      <c r="H41" s="397"/>
      <c r="I41" s="376"/>
      <c r="J41" s="397"/>
      <c r="K41" s="376"/>
      <c r="L41" s="379"/>
      <c r="M41" s="855">
        <f t="shared" si="0"/>
        <v>0</v>
      </c>
    </row>
    <row r="42" spans="2:13" ht="21" customHeight="1">
      <c r="B42" s="375"/>
      <c r="C42" s="375"/>
      <c r="D42" s="375"/>
      <c r="E42" s="375"/>
      <c r="F42" s="397"/>
      <c r="G42" s="376"/>
      <c r="H42" s="397"/>
      <c r="I42" s="376"/>
      <c r="J42" s="397"/>
      <c r="K42" s="376"/>
      <c r="L42" s="379"/>
      <c r="M42" s="855">
        <f t="shared" si="0"/>
        <v>0</v>
      </c>
    </row>
    <row r="43" spans="2:13" ht="21" customHeight="1">
      <c r="B43" s="375"/>
      <c r="C43" s="375"/>
      <c r="D43" s="375"/>
      <c r="E43" s="375"/>
      <c r="F43" s="397"/>
      <c r="G43" s="376"/>
      <c r="H43" s="397"/>
      <c r="I43" s="376"/>
      <c r="J43" s="397"/>
      <c r="K43" s="376"/>
      <c r="L43" s="379"/>
      <c r="M43" s="855">
        <f t="shared" si="0"/>
        <v>0</v>
      </c>
    </row>
    <row r="44" spans="2:13" ht="21" customHeight="1">
      <c r="B44" s="375"/>
      <c r="C44" s="375"/>
      <c r="D44" s="375"/>
      <c r="E44" s="375"/>
      <c r="F44" s="397"/>
      <c r="G44" s="376"/>
      <c r="H44" s="397"/>
      <c r="I44" s="376"/>
      <c r="J44" s="397"/>
      <c r="K44" s="376"/>
      <c r="L44" s="379"/>
      <c r="M44" s="855">
        <f t="shared" si="0"/>
        <v>0</v>
      </c>
    </row>
    <row r="45" spans="2:13" ht="21" customHeight="1">
      <c r="B45" s="375"/>
      <c r="C45" s="375"/>
      <c r="D45" s="375"/>
      <c r="E45" s="375"/>
      <c r="F45" s="397"/>
      <c r="G45" s="376"/>
      <c r="H45" s="397"/>
      <c r="I45" s="376"/>
      <c r="J45" s="397"/>
      <c r="K45" s="376"/>
      <c r="L45" s="379"/>
      <c r="M45" s="855">
        <f t="shared" si="0"/>
        <v>0</v>
      </c>
    </row>
    <row r="46" spans="2:13" ht="21" customHeight="1">
      <c r="B46" s="375"/>
      <c r="C46" s="375"/>
      <c r="D46" s="375"/>
      <c r="E46" s="375"/>
      <c r="F46" s="397"/>
      <c r="G46" s="376"/>
      <c r="H46" s="397"/>
      <c r="I46" s="376"/>
      <c r="J46" s="397"/>
      <c r="K46" s="376"/>
      <c r="L46" s="379"/>
      <c r="M46" s="855">
        <f t="shared" si="0"/>
        <v>0</v>
      </c>
    </row>
    <row r="47" spans="2:13" ht="21" customHeight="1">
      <c r="B47" s="375"/>
      <c r="C47" s="375"/>
      <c r="D47" s="375"/>
      <c r="E47" s="375"/>
      <c r="F47" s="397"/>
      <c r="G47" s="376"/>
      <c r="H47" s="397"/>
      <c r="I47" s="376"/>
      <c r="J47" s="397"/>
      <c r="K47" s="376"/>
      <c r="L47" s="379"/>
      <c r="M47" s="855">
        <f t="shared" si="0"/>
        <v>0</v>
      </c>
    </row>
    <row r="48" spans="2:13" ht="21" customHeight="1">
      <c r="B48" s="286"/>
      <c r="C48" s="286"/>
      <c r="D48" s="151" t="s">
        <v>3538</v>
      </c>
      <c r="E48" s="286"/>
      <c r="F48" s="322" t="s">
        <v>482</v>
      </c>
      <c r="G48" s="160">
        <f>SUM(G10:G47)</f>
        <v>2842145.7200000007</v>
      </c>
      <c r="H48" s="322" t="s">
        <v>482</v>
      </c>
      <c r="I48" s="160">
        <f>SUM(I10:I47)</f>
        <v>8873567.6899999995</v>
      </c>
      <c r="J48" s="322" t="s">
        <v>482</v>
      </c>
      <c r="K48" s="160">
        <f>SUM(K10:K47)</f>
        <v>8562204.4100000001</v>
      </c>
      <c r="L48" s="322" t="s">
        <v>482</v>
      </c>
      <c r="M48" s="855">
        <f>SUM(M10:M47)</f>
        <v>3153509</v>
      </c>
    </row>
    <row r="50" spans="2:13" ht="13.8">
      <c r="B50" s="1573" t="s">
        <v>3542</v>
      </c>
      <c r="C50" s="1573"/>
      <c r="D50" s="1573"/>
      <c r="E50" s="1573"/>
      <c r="F50" s="1573"/>
      <c r="G50" s="1573"/>
      <c r="H50" s="1573"/>
      <c r="I50" s="1573"/>
      <c r="J50" s="1573"/>
      <c r="K50" s="1573"/>
      <c r="L50" s="1573"/>
      <c r="M50" s="1573"/>
    </row>
    <row r="52" spans="2:13">
      <c r="G52" s="325"/>
      <c r="M52" s="325"/>
    </row>
  </sheetData>
  <sheetProtection algorithmName="SHA-512" hashValue="zhPvldl3vnub3CfrOxcK17A8552vptt9VcZ4iiZa7GpEPGrfea6+k1nBsqUKxxRgLSoqZ+MYmzhiAT9jPdW66Q==" saltValue="hyVUfCPsb8lPplRLkE1QJw==" spinCount="100000" sheet="1" scenarios="1"/>
  <customSheetViews>
    <customSheetView guid="{AC653BD0-46E3-42CB-9C76-32121A57B65A}">
      <selection activeCell="B1" sqref="B1"/>
      <pageMargins left="0.25" right="0.25" top="0.5" bottom="0.5" header="0.25" footer="0.25"/>
      <pageSetup paperSize="5" scale="98" orientation="portrait" r:id="rId1"/>
      <headerFooter alignWithMargins="0"/>
    </customSheetView>
    <customSheetView guid="{B165479B-DC25-403C-9595-F1A88A4AA9A2}">
      <pageMargins left="0.25" right="0.25" top="0.5" bottom="0.5" header="0.25" footer="0.25"/>
      <pageSetup paperSize="5" scale="98" orientation="portrait" r:id="rId2"/>
      <headerFooter alignWithMargins="0"/>
    </customSheetView>
    <customSheetView guid="{A64E4C9E-A3DA-4AAA-8607-F524450B9436}">
      <pageMargins left="0.25" right="0.25" top="0.5" bottom="0.5" header="0.25" footer="0.25"/>
      <pageSetup paperSize="5" scale="98" orientation="portrait" r:id="rId3"/>
      <headerFooter alignWithMargins="0"/>
    </customSheetView>
    <customSheetView guid="{AB4FBD91-4533-473A-9702-569FF6402073}">
      <pageMargins left="0.25" right="0.25" top="0.5" bottom="0.5" header="0.25" footer="0.25"/>
      <pageSetup paperSize="5" scale="98" orientation="portrait" r:id="rId4"/>
      <headerFooter alignWithMargins="0"/>
    </customSheetView>
  </customSheetViews>
  <mergeCells count="6">
    <mergeCell ref="B50:M50"/>
    <mergeCell ref="B2:M2"/>
    <mergeCell ref="B3:M3"/>
    <mergeCell ref="B5:D5"/>
    <mergeCell ref="B6:D6"/>
    <mergeCell ref="B8:D8"/>
  </mergeCells>
  <pageMargins left="0.25" right="0.25" top="0.5" bottom="0.5" header="0.25" footer="0.25"/>
  <pageSetup paperSize="5" orientation="portrait" r:id="rId5"/>
  <headerFooter alignWithMargins="0"/>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49">
    <tabColor theme="7" tint="0.39997558519241921"/>
  </sheetPr>
  <dimension ref="B1:Q55"/>
  <sheetViews>
    <sheetView zoomScaleNormal="100" zoomScaleSheetLayoutView="80" workbookViewId="0">
      <selection activeCell="H23" sqref="H23"/>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1" spans="2:17">
      <c r="B1" s="1114"/>
      <c r="C1" s="1114"/>
      <c r="D1" s="1114"/>
      <c r="E1" s="1114"/>
      <c r="F1" s="1114"/>
      <c r="G1" s="1114"/>
      <c r="H1" s="1114"/>
    </row>
    <row r="2" spans="2:17">
      <c r="B2" s="1758" t="s">
        <v>37</v>
      </c>
      <c r="C2" s="1758"/>
      <c r="D2" s="1758"/>
      <c r="E2" s="1758"/>
      <c r="F2" s="1758"/>
      <c r="G2" s="1758"/>
      <c r="H2" s="1758"/>
    </row>
    <row r="3" spans="2:17">
      <c r="B3" s="1758" t="s">
        <v>572</v>
      </c>
      <c r="C3" s="1758"/>
      <c r="D3" s="1758"/>
      <c r="E3" s="1758"/>
      <c r="F3" s="1758"/>
      <c r="G3" s="1758"/>
      <c r="H3" s="1758"/>
    </row>
    <row r="4" spans="2:17">
      <c r="B4" s="1114"/>
      <c r="C4" s="1114"/>
      <c r="D4" s="1114"/>
      <c r="E4" s="1114"/>
      <c r="F4" s="1114"/>
      <c r="G4" s="1114"/>
      <c r="H4" s="1114"/>
    </row>
    <row r="5" spans="2:17" ht="22.8">
      <c r="B5" s="1759" t="s">
        <v>543</v>
      </c>
      <c r="C5" s="1759"/>
      <c r="D5" s="1759"/>
      <c r="E5" s="1759"/>
      <c r="F5" s="1759"/>
      <c r="G5" s="1759"/>
      <c r="H5" s="1759"/>
    </row>
    <row r="6" spans="2:17" ht="22.8">
      <c r="B6" s="1759" t="str">
        <f>"TRIAL  BALANCE - "&amp;UPPER('KEY INPUTS'!D56)&amp;"  UTILITY  FUND (cont'd)"</f>
        <v>TRIAL  BALANCE -   UTILITY  FUND (cont'd)</v>
      </c>
      <c r="C6" s="1759"/>
      <c r="D6" s="1759"/>
      <c r="E6" s="1759"/>
      <c r="F6" s="1759"/>
      <c r="G6" s="1759"/>
      <c r="H6" s="1759"/>
    </row>
    <row r="7" spans="2:17" ht="15.6">
      <c r="B7" s="1760" t="str">
        <f>'KEY INPUTS'!D44</f>
        <v>AS  AT  DECEMBER  31, 2019</v>
      </c>
      <c r="C7" s="1761"/>
      <c r="D7" s="1761"/>
      <c r="E7" s="1761"/>
      <c r="F7" s="1761"/>
      <c r="G7" s="1761"/>
      <c r="H7" s="1761"/>
    </row>
    <row r="8" spans="2:17" ht="15.6">
      <c r="B8" s="1766" t="s">
        <v>573</v>
      </c>
      <c r="C8" s="1766"/>
      <c r="D8" s="1766"/>
      <c r="E8" s="1766"/>
      <c r="F8" s="1766"/>
      <c r="G8" s="1766"/>
      <c r="H8" s="1766"/>
    </row>
    <row r="9" spans="2:17">
      <c r="B9" s="1767" t="s">
        <v>79</v>
      </c>
      <c r="C9" s="1767"/>
      <c r="D9" s="1767"/>
      <c r="E9" s="1767"/>
      <c r="F9" s="1767"/>
      <c r="G9" s="1767"/>
      <c r="H9" s="1767"/>
    </row>
    <row r="10" spans="2:17" ht="15" customHeight="1" thickBot="1">
      <c r="B10" s="1768" t="s">
        <v>80</v>
      </c>
      <c r="C10" s="1768"/>
      <c r="D10" s="1768"/>
      <c r="E10" s="1768"/>
      <c r="F10" s="1768"/>
      <c r="G10" s="1768"/>
      <c r="H10" s="1768"/>
    </row>
    <row r="11" spans="2:17" ht="36" customHeight="1" thickTop="1" thickBot="1">
      <c r="B11" s="1762" t="s">
        <v>124</v>
      </c>
      <c r="C11" s="1762"/>
      <c r="D11" s="1762"/>
      <c r="E11" s="1762"/>
      <c r="F11" s="1763"/>
      <c r="G11" s="1115" t="s">
        <v>125</v>
      </c>
      <c r="H11" s="1116" t="s">
        <v>126</v>
      </c>
    </row>
    <row r="12" spans="2:17" ht="21" customHeight="1" thickTop="1">
      <c r="B12" s="690"/>
      <c r="C12" s="690" t="s">
        <v>3546</v>
      </c>
      <c r="D12" s="690"/>
      <c r="E12" s="690"/>
      <c r="F12" s="690"/>
      <c r="G12" s="906">
        <f>'41a-Utility5'!G44</f>
        <v>0</v>
      </c>
      <c r="H12" s="913">
        <f>'41a-Utility5'!H44</f>
        <v>0</v>
      </c>
    </row>
    <row r="13" spans="2:17" ht="21" customHeight="1">
      <c r="C13" s="649"/>
      <c r="D13" s="649"/>
      <c r="E13" s="649"/>
      <c r="F13" s="649"/>
      <c r="G13" s="601"/>
      <c r="H13" s="651"/>
    </row>
    <row r="14" spans="2:17" ht="21" customHeight="1">
      <c r="B14" s="407"/>
      <c r="C14" s="648"/>
      <c r="D14" s="648"/>
      <c r="E14" s="648"/>
      <c r="F14" s="648"/>
      <c r="G14" s="601"/>
      <c r="H14" s="609"/>
      <c r="K14" s="322"/>
      <c r="L14" s="322"/>
      <c r="M14" s="322"/>
      <c r="N14" s="322"/>
      <c r="O14" s="322"/>
      <c r="P14" s="322"/>
      <c r="Q14" s="322"/>
    </row>
    <row r="15" spans="2:17" ht="21" customHeight="1">
      <c r="B15" s="402"/>
      <c r="C15" s="648"/>
      <c r="D15" s="648"/>
      <c r="E15" s="648"/>
      <c r="F15" s="648"/>
      <c r="G15" s="601"/>
      <c r="H15" s="609"/>
      <c r="K15" s="322"/>
      <c r="L15" s="322"/>
      <c r="M15" s="322"/>
      <c r="N15" s="322"/>
      <c r="O15" s="322"/>
      <c r="P15" s="322"/>
      <c r="Q15" s="322"/>
    </row>
    <row r="16" spans="2:17" ht="21" customHeight="1">
      <c r="B16" s="402"/>
      <c r="C16" s="648"/>
      <c r="D16" s="648"/>
      <c r="E16" s="648"/>
      <c r="F16" s="648"/>
      <c r="G16" s="372"/>
      <c r="H16" s="589"/>
      <c r="K16" s="322"/>
      <c r="L16" s="322"/>
      <c r="M16" s="322"/>
      <c r="N16" s="322"/>
      <c r="O16" s="322"/>
      <c r="P16" s="322"/>
      <c r="Q16" s="322"/>
    </row>
    <row r="17" spans="2:17" ht="21" customHeight="1">
      <c r="B17" s="690"/>
      <c r="C17" s="690" t="s">
        <v>3414</v>
      </c>
      <c r="D17" s="690"/>
      <c r="E17" s="690"/>
      <c r="F17" s="690"/>
      <c r="G17" s="906"/>
      <c r="H17" s="913">
        <f>+'49-Utility5'!G22</f>
        <v>0</v>
      </c>
      <c r="K17" s="322"/>
      <c r="L17" s="322"/>
      <c r="M17" s="322"/>
      <c r="N17" s="322"/>
      <c r="O17" s="322"/>
      <c r="P17" s="322"/>
      <c r="Q17" s="322"/>
    </row>
    <row r="18" spans="2:17" ht="21" customHeight="1">
      <c r="B18" s="690"/>
      <c r="C18" s="690" t="s">
        <v>3678</v>
      </c>
      <c r="D18" s="690"/>
      <c r="E18" s="690"/>
      <c r="F18" s="690"/>
      <c r="G18" s="906"/>
      <c r="H18" s="913">
        <f>'49a-Utility5'!G11-'49a-Utility5'!G22+'49a.1-Utility5'!G11-'49a.1-Utility5'!G22</f>
        <v>0</v>
      </c>
    </row>
    <row r="19" spans="2:17" ht="21" customHeight="1">
      <c r="B19" s="690"/>
      <c r="C19" s="690" t="s">
        <v>3688</v>
      </c>
      <c r="D19" s="690"/>
      <c r="E19" s="690"/>
      <c r="F19" s="690"/>
      <c r="G19" s="906"/>
      <c r="H19" s="913">
        <f>+'51a-Utility5'!G23</f>
        <v>0</v>
      </c>
      <c r="K19" s="322"/>
      <c r="L19" s="322"/>
      <c r="M19" s="322"/>
      <c r="N19" s="322"/>
      <c r="O19" s="322"/>
      <c r="P19" s="322"/>
      <c r="Q19" s="322"/>
    </row>
    <row r="20" spans="2:17" ht="21" customHeight="1">
      <c r="B20" s="690"/>
      <c r="C20" s="914" t="s">
        <v>3413</v>
      </c>
      <c r="D20" s="690"/>
      <c r="E20" s="690"/>
      <c r="F20" s="690"/>
      <c r="G20" s="906"/>
      <c r="H20" s="913">
        <f>+'50-Utility5'!G18</f>
        <v>0</v>
      </c>
      <c r="K20" s="322"/>
      <c r="L20" s="322"/>
      <c r="M20" s="322"/>
      <c r="N20" s="322"/>
      <c r="O20" s="322"/>
      <c r="P20" s="322"/>
      <c r="Q20" s="322"/>
    </row>
    <row r="21" spans="2:17" ht="21" customHeight="1">
      <c r="B21" s="690"/>
      <c r="C21" s="690" t="s">
        <v>1004</v>
      </c>
      <c r="D21" s="690"/>
      <c r="E21" s="690"/>
      <c r="F21" s="690"/>
      <c r="G21" s="906"/>
      <c r="H21" s="913" t="s">
        <v>3406</v>
      </c>
      <c r="K21" s="322"/>
      <c r="L21" s="322"/>
      <c r="M21" s="322"/>
      <c r="N21" s="322"/>
      <c r="O21" s="322"/>
      <c r="P21" s="322"/>
      <c r="Q21" s="322"/>
    </row>
    <row r="22" spans="2:17" ht="21" customHeight="1">
      <c r="B22" s="690"/>
      <c r="C22" s="690"/>
      <c r="D22" s="690" t="s">
        <v>1001</v>
      </c>
      <c r="E22" s="690"/>
      <c r="F22" s="690"/>
      <c r="G22" s="906"/>
      <c r="H22" s="913">
        <f>+'52-Utility5'!K27</f>
        <v>0</v>
      </c>
      <c r="J22" s="399"/>
      <c r="K22" s="322"/>
      <c r="L22" s="322"/>
      <c r="M22" s="322"/>
      <c r="N22" s="322"/>
      <c r="O22" s="322"/>
      <c r="P22" s="322"/>
      <c r="Q22" s="322"/>
    </row>
    <row r="23" spans="2:17" ht="21" customHeight="1">
      <c r="B23" s="690"/>
      <c r="C23" s="690"/>
      <c r="D23" s="690" t="s">
        <v>1002</v>
      </c>
      <c r="E23" s="690"/>
      <c r="F23" s="690"/>
      <c r="G23" s="906"/>
      <c r="H23" s="913">
        <f>+'52-Utility5'!L27</f>
        <v>0</v>
      </c>
      <c r="J23" s="399"/>
      <c r="K23" s="322"/>
      <c r="L23" s="322"/>
      <c r="M23" s="322"/>
      <c r="N23" s="322"/>
      <c r="O23" s="322"/>
      <c r="P23" s="322"/>
      <c r="Q23" s="322"/>
    </row>
    <row r="24" spans="2:17" ht="21" customHeight="1">
      <c r="B24" s="402"/>
      <c r="C24" s="648" t="s">
        <v>3412</v>
      </c>
      <c r="D24" s="648"/>
      <c r="E24" s="648"/>
      <c r="F24" s="648"/>
      <c r="G24" s="372"/>
      <c r="H24" s="568"/>
    </row>
    <row r="25" spans="2:17" ht="21" customHeight="1">
      <c r="B25" s="402"/>
      <c r="C25" s="648" t="s">
        <v>840</v>
      </c>
      <c r="D25" s="648"/>
      <c r="E25" s="648"/>
      <c r="F25" s="648"/>
      <c r="G25" s="372"/>
      <c r="H25" s="568"/>
    </row>
    <row r="26" spans="2:17" ht="21" customHeight="1">
      <c r="B26" s="402"/>
      <c r="C26" s="648" t="str">
        <f>"DUE TO "&amp;UPPER('KEY INPUTS'!D52)&amp;" OPERATING"</f>
        <v>DUE TO  OPERATING</v>
      </c>
      <c r="D26" s="648"/>
      <c r="E26" s="648"/>
      <c r="F26" s="648"/>
      <c r="G26" s="372"/>
      <c r="H26" s="568"/>
    </row>
    <row r="27" spans="2:17" ht="21" customHeight="1">
      <c r="B27" s="402"/>
      <c r="C27" s="648" t="s">
        <v>839</v>
      </c>
      <c r="D27" s="648"/>
      <c r="E27" s="648"/>
      <c r="F27" s="648"/>
      <c r="G27" s="372"/>
      <c r="H27" s="568"/>
    </row>
    <row r="28" spans="2:17" ht="21" customHeight="1">
      <c r="B28" s="402"/>
      <c r="C28" s="648" t="s">
        <v>838</v>
      </c>
      <c r="D28" s="648"/>
      <c r="E28" s="648"/>
      <c r="F28" s="648"/>
      <c r="G28" s="372"/>
      <c r="H28" s="568"/>
    </row>
    <row r="29" spans="2:17" ht="21" customHeight="1">
      <c r="B29" s="402"/>
      <c r="C29" s="648" t="s">
        <v>370</v>
      </c>
      <c r="D29" s="648"/>
      <c r="E29" s="648"/>
      <c r="F29" s="648"/>
      <c r="G29" s="372"/>
      <c r="H29" s="568"/>
    </row>
    <row r="30" spans="2:17" ht="21" customHeight="1">
      <c r="B30" s="402"/>
      <c r="C30" s="648"/>
      <c r="D30" s="648"/>
      <c r="E30" s="648"/>
      <c r="F30" s="648"/>
      <c r="G30" s="372"/>
      <c r="H30" s="589" t="s">
        <v>3406</v>
      </c>
    </row>
    <row r="31" spans="2:17" ht="21" customHeight="1">
      <c r="B31" s="402"/>
      <c r="C31" s="648"/>
      <c r="D31" s="648"/>
      <c r="E31" s="648"/>
      <c r="F31" s="648"/>
      <c r="G31" s="372"/>
      <c r="H31" s="589" t="s">
        <v>3406</v>
      </c>
    </row>
    <row r="32" spans="2:17" ht="21" customHeight="1">
      <c r="B32" s="402"/>
      <c r="C32" s="648"/>
      <c r="D32" s="648"/>
      <c r="E32" s="648"/>
      <c r="F32" s="648"/>
      <c r="G32" s="372"/>
      <c r="H32" s="651"/>
    </row>
    <row r="33" spans="2:13" ht="21" customHeight="1">
      <c r="B33" s="402"/>
      <c r="C33" s="648"/>
      <c r="D33" s="648"/>
      <c r="E33" s="648"/>
      <c r="F33" s="648"/>
      <c r="G33" s="372"/>
      <c r="H33" s="589" t="s">
        <v>3406</v>
      </c>
    </row>
    <row r="34" spans="2:13" ht="21" customHeight="1">
      <c r="B34" s="402"/>
      <c r="C34" s="648"/>
      <c r="D34" s="648"/>
      <c r="E34" s="648"/>
      <c r="F34" s="648"/>
      <c r="G34" s="372"/>
      <c r="H34" s="589"/>
    </row>
    <row r="35" spans="2:13" ht="21" customHeight="1">
      <c r="B35" s="402"/>
      <c r="C35" s="648"/>
      <c r="D35" s="648"/>
      <c r="E35" s="648"/>
      <c r="F35" s="648"/>
      <c r="G35" s="372"/>
      <c r="H35" s="589"/>
    </row>
    <row r="36" spans="2:13" ht="21" customHeight="1">
      <c r="B36" s="402"/>
      <c r="C36" s="648"/>
      <c r="D36" s="648"/>
      <c r="E36" s="648"/>
      <c r="F36" s="648"/>
      <c r="G36" s="372"/>
      <c r="H36" s="589" t="s">
        <v>3406</v>
      </c>
    </row>
    <row r="37" spans="2:13" ht="21" customHeight="1">
      <c r="B37" s="402"/>
      <c r="C37" s="648"/>
      <c r="D37" s="648"/>
      <c r="E37" s="648"/>
      <c r="F37" s="648"/>
      <c r="G37" s="372"/>
      <c r="H37" s="651"/>
    </row>
    <row r="38" spans="2:13" ht="21" customHeight="1">
      <c r="B38" s="402"/>
      <c r="C38" s="648"/>
      <c r="D38" s="648"/>
      <c r="E38" s="648"/>
      <c r="F38" s="648"/>
      <c r="G38" s="372"/>
      <c r="H38" s="589" t="s">
        <v>3406</v>
      </c>
    </row>
    <row r="39" spans="2:13" ht="21" customHeight="1">
      <c r="B39" s="402"/>
      <c r="C39" s="648"/>
      <c r="D39" s="648"/>
      <c r="E39" s="648"/>
      <c r="F39" s="648"/>
      <c r="G39" s="372"/>
      <c r="H39" s="589"/>
    </row>
    <row r="40" spans="2:13" ht="21" customHeight="1">
      <c r="B40" s="690"/>
      <c r="C40" s="690" t="s">
        <v>3480</v>
      </c>
      <c r="D40" s="690"/>
      <c r="E40" s="690"/>
      <c r="F40" s="690"/>
      <c r="G40" s="906"/>
      <c r="H40" s="913">
        <f>+'53-Utility5'!I41</f>
        <v>0</v>
      </c>
    </row>
    <row r="41" spans="2:13" ht="21" customHeight="1">
      <c r="B41" s="690"/>
      <c r="C41" s="690" t="s">
        <v>1005</v>
      </c>
      <c r="D41" s="690"/>
      <c r="E41" s="690"/>
      <c r="F41" s="690"/>
      <c r="G41" s="906"/>
      <c r="H41" s="913">
        <f>+'53-Utility5'!I24</f>
        <v>0</v>
      </c>
    </row>
    <row r="42" spans="2:13" ht="21" customHeight="1">
      <c r="B42" s="690"/>
      <c r="C42" s="690" t="s">
        <v>807</v>
      </c>
      <c r="D42" s="690"/>
      <c r="E42" s="690"/>
      <c r="F42" s="690"/>
      <c r="G42" s="906"/>
      <c r="H42" s="913">
        <f>+'54-Utility5'!I42</f>
        <v>0</v>
      </c>
    </row>
    <row r="43" spans="2:13" ht="21" customHeight="1" thickBot="1">
      <c r="B43" s="690"/>
      <c r="C43" s="690"/>
      <c r="D43" s="690"/>
      <c r="E43" s="690"/>
      <c r="F43" s="690"/>
      <c r="G43" s="1294"/>
      <c r="H43" s="1295"/>
      <c r="I43" s="399"/>
      <c r="M43" s="399"/>
    </row>
    <row r="44" spans="2:13" ht="21" customHeight="1" thickBot="1">
      <c r="B44" s="690"/>
      <c r="C44" s="690" t="s">
        <v>1000</v>
      </c>
      <c r="D44" s="690"/>
      <c r="E44" s="690"/>
      <c r="F44" s="690"/>
      <c r="G44" s="1296">
        <f>SUM(G12:G42)</f>
        <v>0</v>
      </c>
      <c r="H44" s="1297">
        <f>SUM(H12:H43)</f>
        <v>0</v>
      </c>
      <c r="I44" s="399"/>
      <c r="K44" s="399"/>
    </row>
    <row r="45" spans="2:13" ht="13.8" thickTop="1">
      <c r="B45" s="1917" t="s">
        <v>127</v>
      </c>
      <c r="C45" s="1917"/>
      <c r="D45" s="1917"/>
      <c r="E45" s="1917"/>
      <c r="F45" s="1917"/>
      <c r="G45" s="1918"/>
      <c r="H45" s="1918"/>
    </row>
    <row r="46" spans="2:13">
      <c r="B46" s="1299"/>
      <c r="C46" s="1299"/>
      <c r="D46" s="1299"/>
      <c r="E46" s="1299"/>
      <c r="F46" s="1299"/>
      <c r="G46" s="1299"/>
      <c r="H46" s="1299"/>
    </row>
    <row r="47" spans="2:13">
      <c r="B47" s="1299"/>
      <c r="C47" s="1299"/>
      <c r="D47" s="1299"/>
      <c r="E47" s="1299"/>
      <c r="F47" s="1299"/>
      <c r="G47" s="1299"/>
      <c r="H47" s="1299"/>
    </row>
    <row r="48" spans="2:13">
      <c r="B48" s="1299"/>
      <c r="C48" s="1299"/>
      <c r="D48" s="1299"/>
      <c r="E48" s="1299"/>
      <c r="F48" s="1299"/>
      <c r="G48" s="1299"/>
      <c r="H48" s="1299"/>
    </row>
    <row r="49" spans="2:8">
      <c r="B49" s="1299"/>
      <c r="C49" s="1299"/>
      <c r="D49" s="1299"/>
      <c r="E49" s="1299"/>
      <c r="F49" s="1299"/>
      <c r="G49" s="1299"/>
      <c r="H49" s="1299"/>
    </row>
    <row r="50" spans="2:8" ht="13.8">
      <c r="B50" s="1950" t="s">
        <v>3690</v>
      </c>
      <c r="C50" s="1950"/>
      <c r="D50" s="1950"/>
      <c r="E50" s="1950"/>
      <c r="F50" s="1950"/>
      <c r="G50" s="1950"/>
      <c r="H50" s="1950"/>
    </row>
    <row r="55" spans="2:8">
      <c r="H55" s="399"/>
    </row>
  </sheetData>
  <sheetProtection algorithmName="SHA-512" hashValue="/Vf3udx2R+UBwVLvCFnM5Ir+aqK96TbAol0U1lhKe35fgCITuKvbpPC1PNxxzXG61bY5ttUSa70GJMvJ7nOLOg==" saltValue="9aOEsH722dxyZNGulww9tw==" spinCount="100000" sheet="1" objects="1" scenarios="1"/>
  <customSheetViews>
    <customSheetView guid="{AC653BD0-46E3-42CB-9C76-32121A57B65A}">
      <selection activeCell="H23" sqref="H23"/>
      <pageMargins left="0.25" right="0.25" top="0.5" bottom="0.5" header="0.25" footer="0.25"/>
      <pageSetup paperSize="5" orientation="portrait" r:id="rId1"/>
      <headerFooter alignWithMargins="0"/>
    </customSheetView>
    <customSheetView guid="{B165479B-DC25-403C-9595-F1A88A4AA9A2}">
      <selection activeCell="H23" sqref="H23"/>
      <pageMargins left="0.25" right="0.25" top="0.5" bottom="0.5" header="0.25" footer="0.25"/>
      <pageSetup paperSize="5" orientation="portrait" r:id="rId2"/>
      <headerFooter alignWithMargins="0"/>
    </customSheetView>
    <customSheetView guid="{A64E4C9E-A3DA-4AAA-8607-F524450B9436}">
      <selection activeCell="H23" sqref="H23"/>
      <pageMargins left="0.25" right="0.25" top="0.5" bottom="0.5" header="0.25" footer="0.25"/>
      <pageSetup paperSize="5" orientation="portrait" r:id="rId3"/>
      <headerFooter alignWithMargins="0"/>
    </customSheetView>
    <customSheetView guid="{AB4FBD91-4533-473A-9702-569FF6402073}">
      <selection activeCell="H23" sqref="H23"/>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0">
    <tabColor theme="7" tint="0.39997558519241921"/>
  </sheetPr>
  <dimension ref="B1:R49"/>
  <sheetViews>
    <sheetView topLeftCell="A19" zoomScaleNormal="100" zoomScaleSheetLayoutView="80" workbookViewId="0">
      <selection activeCell="H38" sqref="H38"/>
    </sheetView>
  </sheetViews>
  <sheetFormatPr defaultColWidth="9.109375" defaultRowHeight="13.2"/>
  <cols>
    <col min="1" max="1" width="4.6640625" style="331" customWidth="1"/>
    <col min="2" max="2" width="4.88671875" style="331" customWidth="1"/>
    <col min="3" max="4" width="4.6640625" style="331" customWidth="1"/>
    <col min="5" max="5" width="30.6640625" style="331" customWidth="1"/>
    <col min="6" max="6" width="15.6640625" style="331" customWidth="1"/>
    <col min="7" max="8" width="16.6640625" style="331" customWidth="1"/>
    <col min="9" max="16384" width="9.109375" style="331"/>
  </cols>
  <sheetData>
    <row r="1" spans="2:18">
      <c r="B1" s="1146"/>
      <c r="C1" s="1146"/>
      <c r="D1" s="1146"/>
      <c r="E1" s="1146"/>
      <c r="F1" s="1146"/>
      <c r="G1" s="1146"/>
      <c r="H1" s="1146"/>
    </row>
    <row r="2" spans="2:18">
      <c r="B2" s="1146"/>
      <c r="C2" s="1146"/>
      <c r="D2" s="1146"/>
      <c r="E2" s="1146"/>
      <c r="F2" s="1146"/>
      <c r="G2" s="1146"/>
      <c r="H2" s="1146"/>
    </row>
    <row r="3" spans="2:18" ht="22.8">
      <c r="B3" s="1782" t="s">
        <v>1043</v>
      </c>
      <c r="C3" s="1782"/>
      <c r="D3" s="1782"/>
      <c r="E3" s="1782"/>
      <c r="F3" s="1782"/>
      <c r="G3" s="1782"/>
      <c r="H3" s="1782"/>
    </row>
    <row r="4" spans="2:18" ht="22.8">
      <c r="B4" s="1782" t="s">
        <v>1044</v>
      </c>
      <c r="C4" s="1782"/>
      <c r="D4" s="1782"/>
      <c r="E4" s="1782"/>
      <c r="F4" s="1782"/>
      <c r="G4" s="1782"/>
      <c r="H4" s="1782"/>
    </row>
    <row r="5" spans="2:18" ht="15.6">
      <c r="B5" s="1783"/>
      <c r="C5" s="1783"/>
      <c r="D5" s="1783"/>
      <c r="E5" s="1783"/>
      <c r="F5" s="1783"/>
      <c r="G5" s="1783"/>
      <c r="H5" s="1783"/>
    </row>
    <row r="6" spans="2:18" ht="13.8">
      <c r="B6" s="1781" t="s">
        <v>1045</v>
      </c>
      <c r="C6" s="1781"/>
      <c r="D6" s="1781"/>
      <c r="E6" s="1781"/>
      <c r="F6" s="1781"/>
      <c r="G6" s="1781"/>
      <c r="H6" s="1781"/>
    </row>
    <row r="7" spans="2:18" ht="13.8">
      <c r="B7" s="1781" t="s">
        <v>1053</v>
      </c>
      <c r="C7" s="1781"/>
      <c r="D7" s="1781"/>
      <c r="E7" s="1781"/>
      <c r="F7" s="1781"/>
      <c r="G7" s="1781"/>
      <c r="H7" s="1781"/>
    </row>
    <row r="8" spans="2:18" ht="13.8">
      <c r="B8" s="1133"/>
      <c r="C8" s="1133"/>
      <c r="D8" s="1133"/>
      <c r="E8" s="1133"/>
      <c r="F8" s="1133"/>
      <c r="G8" s="1133"/>
      <c r="H8" s="1133"/>
    </row>
    <row r="9" spans="2:18" ht="15" customHeight="1" thickBot="1">
      <c r="B9" s="1784" t="str">
        <f>'KEY INPUTS'!D44</f>
        <v>AS  AT  DECEMBER  31, 2019</v>
      </c>
      <c r="C9" s="1783"/>
      <c r="D9" s="1783"/>
      <c r="E9" s="1783"/>
      <c r="F9" s="1783"/>
      <c r="G9" s="1783"/>
      <c r="H9" s="1783"/>
    </row>
    <row r="10" spans="2:18" ht="36" customHeight="1" thickTop="1" thickBot="1">
      <c r="B10" s="1785" t="s">
        <v>124</v>
      </c>
      <c r="C10" s="1785"/>
      <c r="D10" s="1785"/>
      <c r="E10" s="1785"/>
      <c r="F10" s="1786"/>
      <c r="G10" s="1134" t="s">
        <v>125</v>
      </c>
      <c r="H10" s="1135" t="s">
        <v>126</v>
      </c>
    </row>
    <row r="11" spans="2:18" ht="21" customHeight="1" thickTop="1">
      <c r="B11" s="1136" t="s">
        <v>459</v>
      </c>
      <c r="C11" s="1136"/>
      <c r="D11" s="1136"/>
      <c r="E11" s="1136"/>
      <c r="F11" s="1136"/>
      <c r="G11" s="650"/>
      <c r="H11" s="651"/>
      <c r="L11" s="322"/>
      <c r="M11" s="322"/>
      <c r="N11" s="322"/>
      <c r="O11" s="322"/>
      <c r="P11" s="322"/>
      <c r="Q11" s="322"/>
      <c r="R11" s="322"/>
    </row>
    <row r="12" spans="2:18" ht="21" customHeight="1">
      <c r="B12" s="648"/>
      <c r="C12" s="648"/>
      <c r="D12" s="648"/>
      <c r="E12" s="648"/>
      <c r="F12" s="648"/>
      <c r="G12" s="601"/>
      <c r="H12" s="609"/>
      <c r="L12" s="322"/>
      <c r="M12" s="322"/>
      <c r="N12" s="322"/>
      <c r="O12" s="322"/>
      <c r="P12" s="322"/>
      <c r="Q12" s="322"/>
      <c r="R12" s="322"/>
    </row>
    <row r="13" spans="2:18" ht="21" customHeight="1">
      <c r="B13" s="648"/>
      <c r="C13" s="648"/>
      <c r="D13" s="648"/>
      <c r="E13" s="648"/>
      <c r="F13" s="648"/>
      <c r="G13" s="601"/>
      <c r="H13" s="609"/>
      <c r="L13" s="377"/>
      <c r="M13" s="322"/>
      <c r="N13" s="322"/>
      <c r="O13" s="322"/>
      <c r="P13" s="322"/>
      <c r="Q13" s="322"/>
      <c r="R13" s="322"/>
    </row>
    <row r="14" spans="2:18" ht="21" customHeight="1">
      <c r="B14" s="648"/>
      <c r="C14" s="648"/>
      <c r="D14" s="648"/>
      <c r="E14" s="648"/>
      <c r="F14" s="648"/>
      <c r="G14" s="601"/>
      <c r="H14" s="609"/>
      <c r="L14" s="322"/>
      <c r="M14" s="322"/>
      <c r="N14" s="322"/>
      <c r="O14" s="322"/>
      <c r="P14" s="322"/>
      <c r="Q14" s="322"/>
      <c r="R14" s="322"/>
    </row>
    <row r="15" spans="2:18" ht="21" customHeight="1">
      <c r="B15" s="648"/>
      <c r="C15" s="648"/>
      <c r="D15" s="648"/>
      <c r="E15" s="648"/>
      <c r="F15" s="648"/>
      <c r="G15" s="601"/>
      <c r="H15" s="609"/>
      <c r="L15" s="322"/>
      <c r="M15" s="322"/>
      <c r="N15" s="322"/>
      <c r="O15" s="322"/>
      <c r="P15" s="322"/>
      <c r="Q15" s="322"/>
      <c r="R15" s="322"/>
    </row>
    <row r="16" spans="2:18" ht="21" customHeight="1">
      <c r="B16" s="648"/>
      <c r="C16" s="648"/>
      <c r="D16" s="648"/>
      <c r="E16" s="648"/>
      <c r="F16" s="648"/>
      <c r="G16" s="601"/>
      <c r="H16" s="609"/>
      <c r="L16" s="322"/>
      <c r="M16" s="322"/>
      <c r="N16" s="322"/>
      <c r="O16" s="322"/>
      <c r="P16" s="322"/>
      <c r="Q16" s="322"/>
      <c r="R16" s="322"/>
    </row>
    <row r="17" spans="2:18" ht="21" customHeight="1">
      <c r="B17" s="648"/>
      <c r="C17" s="648"/>
      <c r="D17" s="648"/>
      <c r="E17" s="648"/>
      <c r="F17" s="648"/>
      <c r="G17" s="601"/>
      <c r="H17" s="609"/>
      <c r="L17" s="322"/>
      <c r="M17" s="322"/>
      <c r="N17" s="322"/>
      <c r="O17" s="322"/>
      <c r="P17" s="322"/>
      <c r="Q17" s="322"/>
      <c r="R17" s="322"/>
    </row>
    <row r="18" spans="2:18" ht="21" customHeight="1">
      <c r="B18" s="648"/>
      <c r="C18" s="648"/>
      <c r="D18" s="648"/>
      <c r="E18" s="648"/>
      <c r="F18" s="648"/>
      <c r="G18" s="601"/>
      <c r="H18" s="609"/>
      <c r="L18" s="322"/>
      <c r="M18" s="322"/>
      <c r="N18" s="322"/>
      <c r="O18" s="322"/>
      <c r="P18" s="322"/>
      <c r="Q18" s="322"/>
      <c r="R18" s="322"/>
    </row>
    <row r="19" spans="2:18" ht="21" customHeight="1">
      <c r="B19" s="648"/>
      <c r="C19" s="648"/>
      <c r="D19" s="648"/>
      <c r="E19" s="648"/>
      <c r="F19" s="648"/>
      <c r="G19" s="601"/>
      <c r="H19" s="609"/>
      <c r="L19" s="322"/>
      <c r="M19" s="322"/>
      <c r="N19" s="322"/>
      <c r="O19" s="322"/>
      <c r="P19" s="322"/>
      <c r="Q19" s="322"/>
      <c r="R19" s="322"/>
    </row>
    <row r="20" spans="2:18" ht="21" customHeight="1">
      <c r="B20" s="648"/>
      <c r="C20" s="648"/>
      <c r="D20" s="648"/>
      <c r="E20" s="648"/>
      <c r="F20" s="648"/>
      <c r="G20" s="601"/>
      <c r="H20" s="609"/>
      <c r="L20" s="322"/>
      <c r="M20" s="322"/>
      <c r="N20" s="322"/>
      <c r="O20" s="322"/>
      <c r="P20" s="322"/>
      <c r="Q20" s="322"/>
      <c r="R20" s="322"/>
    </row>
    <row r="21" spans="2:18" ht="21" customHeight="1">
      <c r="B21" s="648"/>
      <c r="C21" s="648"/>
      <c r="D21" s="648"/>
      <c r="E21" s="648"/>
      <c r="F21" s="648"/>
      <c r="G21" s="601"/>
      <c r="H21" s="609"/>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L23" s="322"/>
      <c r="M23" s="322"/>
      <c r="N23" s="322"/>
      <c r="O23" s="322"/>
      <c r="P23" s="322"/>
      <c r="Q23" s="322"/>
      <c r="R23" s="322"/>
    </row>
    <row r="24" spans="2:18" ht="21" customHeight="1">
      <c r="B24" s="648"/>
      <c r="C24" s="648"/>
      <c r="D24" s="648"/>
      <c r="E24" s="648"/>
      <c r="F24" s="648"/>
      <c r="G24" s="601"/>
      <c r="H24" s="60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48"/>
      <c r="C26" s="648"/>
      <c r="D26" s="648"/>
      <c r="E26" s="648"/>
      <c r="F26" s="648"/>
      <c r="G26" s="601"/>
      <c r="H26" s="609"/>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648"/>
      <c r="C30" s="648"/>
      <c r="D30" s="648"/>
      <c r="E30" s="648"/>
      <c r="F30" s="648"/>
      <c r="G30" s="601"/>
      <c r="H30" s="609"/>
    </row>
    <row r="31" spans="2:18" ht="21" customHeight="1">
      <c r="B31" s="648"/>
      <c r="C31" s="648"/>
      <c r="D31" s="648"/>
      <c r="E31" s="648"/>
      <c r="F31" s="648"/>
      <c r="G31" s="601"/>
      <c r="H31" s="609"/>
    </row>
    <row r="32" spans="2:18" ht="21" customHeight="1">
      <c r="B32" s="648"/>
      <c r="C32" s="648"/>
      <c r="D32" s="648"/>
      <c r="E32" s="648"/>
      <c r="F32" s="648"/>
      <c r="G32" s="601"/>
      <c r="H32" s="609"/>
    </row>
    <row r="33" spans="2:8" ht="21" customHeight="1">
      <c r="B33" s="648"/>
      <c r="C33" s="648"/>
      <c r="D33" s="648"/>
      <c r="E33" s="648"/>
      <c r="F33" s="648"/>
      <c r="G33" s="601"/>
      <c r="H33" s="609"/>
    </row>
    <row r="34" spans="2:8" ht="21" customHeight="1">
      <c r="B34" s="648"/>
      <c r="C34" s="648"/>
      <c r="D34" s="648"/>
      <c r="E34" s="648"/>
      <c r="F34" s="648"/>
      <c r="G34" s="601"/>
      <c r="H34" s="609"/>
    </row>
    <row r="35" spans="2:8" ht="21" customHeight="1">
      <c r="B35" s="648"/>
      <c r="C35" s="648"/>
      <c r="D35" s="648"/>
      <c r="E35" s="648"/>
      <c r="F35" s="648"/>
      <c r="G35" s="601"/>
      <c r="H35" s="609"/>
    </row>
    <row r="36" spans="2:8" ht="21" customHeight="1">
      <c r="B36" s="648"/>
      <c r="C36" s="648"/>
      <c r="D36" s="648"/>
      <c r="E36" s="648"/>
      <c r="F36" s="648"/>
      <c r="G36" s="601"/>
      <c r="H36" s="609"/>
    </row>
    <row r="37" spans="2:8" ht="21" customHeight="1">
      <c r="B37" s="648"/>
      <c r="C37" s="648"/>
      <c r="D37" s="648"/>
      <c r="E37" s="648"/>
      <c r="F37" s="648"/>
      <c r="G37" s="601"/>
      <c r="H37" s="609"/>
    </row>
    <row r="38" spans="2:8" ht="21" customHeight="1">
      <c r="B38" s="1137" t="s">
        <v>3481</v>
      </c>
      <c r="C38" s="1137"/>
      <c r="D38" s="1137"/>
      <c r="E38" s="1137"/>
      <c r="F38" s="1137"/>
      <c r="G38" s="601"/>
      <c r="H38" s="1126">
        <f>+'51-Utility5'!G23</f>
        <v>0</v>
      </c>
    </row>
    <row r="39" spans="2:8" ht="21" customHeight="1">
      <c r="B39" s="1137" t="s">
        <v>3482</v>
      </c>
      <c r="C39" s="1137"/>
      <c r="D39" s="1137"/>
      <c r="E39" s="1137"/>
      <c r="F39" s="1137"/>
      <c r="G39" s="601"/>
      <c r="H39" s="1126">
        <f>+'49-Utility5'!G11</f>
        <v>0</v>
      </c>
    </row>
    <row r="40" spans="2:8" ht="21" customHeight="1">
      <c r="B40" s="1137" t="s">
        <v>999</v>
      </c>
      <c r="C40" s="1137"/>
      <c r="D40" s="1137"/>
      <c r="E40" s="1137"/>
      <c r="F40" s="1137"/>
      <c r="G40" s="601"/>
      <c r="H40" s="1126">
        <f>'43-Utility5'!L20</f>
        <v>0</v>
      </c>
    </row>
    <row r="41" spans="2:8" ht="21" customHeight="1">
      <c r="B41" s="648"/>
      <c r="C41" s="648"/>
      <c r="D41" s="648"/>
      <c r="E41" s="648"/>
      <c r="F41" s="648"/>
      <c r="G41" s="601"/>
      <c r="H41" s="609"/>
    </row>
    <row r="42" spans="2:8" ht="21" customHeight="1">
      <c r="B42" s="648"/>
      <c r="C42" s="648"/>
      <c r="D42" s="648"/>
      <c r="E42" s="648"/>
      <c r="F42" s="648"/>
      <c r="G42" s="601"/>
      <c r="H42" s="609"/>
    </row>
    <row r="43" spans="2:8" ht="21" customHeight="1">
      <c r="B43" s="1139"/>
      <c r="C43" s="1139"/>
      <c r="D43" s="1139"/>
      <c r="E43" s="1139"/>
      <c r="F43" s="1139"/>
      <c r="G43" s="1105">
        <f>SUM(G11:G42)</f>
        <v>0</v>
      </c>
      <c r="H43" s="1140">
        <f>SUM(H11:H42)</f>
        <v>0</v>
      </c>
    </row>
    <row r="44" spans="2:8">
      <c r="B44" s="1787" t="s">
        <v>127</v>
      </c>
      <c r="C44" s="1787"/>
      <c r="D44" s="1787"/>
      <c r="E44" s="1787"/>
      <c r="F44" s="1787"/>
      <c r="G44" s="1787"/>
      <c r="H44" s="1787"/>
    </row>
    <row r="45" spans="2:8">
      <c r="B45" s="1141"/>
      <c r="C45" s="1141"/>
      <c r="D45" s="1141"/>
      <c r="E45" s="1141"/>
      <c r="F45" s="1141"/>
      <c r="G45" s="1141"/>
      <c r="H45" s="1141"/>
    </row>
    <row r="46" spans="2:8">
      <c r="B46" s="1141"/>
      <c r="C46" s="1141"/>
      <c r="D46" s="1141"/>
      <c r="E46" s="1141"/>
      <c r="F46" s="1141"/>
      <c r="G46" s="1141"/>
      <c r="H46" s="1141"/>
    </row>
    <row r="47" spans="2:8">
      <c r="B47" s="1141"/>
      <c r="C47" s="1141"/>
      <c r="D47" s="1141"/>
      <c r="E47" s="1141"/>
      <c r="F47" s="1141"/>
      <c r="G47" s="1141"/>
      <c r="H47" s="1141"/>
    </row>
    <row r="48" spans="2:8">
      <c r="B48" s="1141"/>
      <c r="C48" s="1141"/>
      <c r="D48" s="1141"/>
      <c r="E48" s="1141"/>
      <c r="F48" s="1141"/>
      <c r="G48" s="1141"/>
      <c r="H48" s="1141"/>
    </row>
    <row r="49" spans="2:8" ht="13.8">
      <c r="B49" s="1780" t="s">
        <v>3415</v>
      </c>
      <c r="C49" s="1780"/>
      <c r="D49" s="1780"/>
      <c r="E49" s="1780"/>
      <c r="F49" s="1780"/>
      <c r="G49" s="1780"/>
      <c r="H49" s="1780"/>
    </row>
  </sheetData>
  <sheetProtection algorithmName="SHA-512" hashValue="M7Yy4KgBh+IK6XQH7vdKhlEdzQNyK6wFVu5iHkIBpTlrUF6g1cfLMPlPRXDfL1RT9PYV8rcnPIVz7r91aw0H9g==" saltValue="V4nbFg7Z9/pFXqc0h7MQeg==" spinCount="100000" sheet="1" objects="1" scenarios="1"/>
  <customSheetViews>
    <customSheetView guid="{AC653BD0-46E3-42CB-9C76-32121A57B65A}" topLeftCell="A19">
      <selection activeCell="H38" sqref="H38"/>
      <pageMargins left="0.25" right="0.25" top="0.5" bottom="0.5" header="0.25" footer="0.25"/>
      <pageSetup paperSize="5" orientation="portrait" r:id="rId1"/>
      <headerFooter alignWithMargins="0"/>
    </customSheetView>
    <customSheetView guid="{B165479B-DC25-403C-9595-F1A88A4AA9A2}" topLeftCell="A19">
      <selection activeCell="H38" sqref="H38"/>
      <pageMargins left="0.25" right="0.25" top="0.5" bottom="0.5" header="0.25" footer="0.25"/>
      <pageSetup paperSize="5" orientation="portrait" r:id="rId2"/>
      <headerFooter alignWithMargins="0"/>
    </customSheetView>
    <customSheetView guid="{A64E4C9E-A3DA-4AAA-8607-F524450B9436}" topLeftCell="A19">
      <selection activeCell="H38" sqref="H38"/>
      <pageMargins left="0.25" right="0.25" top="0.5" bottom="0.5" header="0.25" footer="0.25"/>
      <pageSetup paperSize="5" orientation="portrait" r:id="rId3"/>
      <headerFooter alignWithMargins="0"/>
    </customSheetView>
    <customSheetView guid="{AB4FBD91-4533-473A-9702-569FF6402073}" topLeftCell="A19">
      <selection activeCell="H38" sqref="H38"/>
      <pageMargins left="0.25" right="0.25" top="0.5" bottom="0.5" header="0.25" footer="0.25"/>
      <pageSetup paperSize="5" orientation="portrait" r:id="rId4"/>
      <headerFooter alignWithMargins="0"/>
    </customSheetView>
  </customSheetViews>
  <mergeCells count="9">
    <mergeCell ref="B10:F10"/>
    <mergeCell ref="B44:H44"/>
    <mergeCell ref="B49:H49"/>
    <mergeCell ref="B3:H3"/>
    <mergeCell ref="B4:H4"/>
    <mergeCell ref="B5:H5"/>
    <mergeCell ref="B6:H6"/>
    <mergeCell ref="B7:H7"/>
    <mergeCell ref="B9:H9"/>
  </mergeCells>
  <pageMargins left="0.25" right="0.25" top="0.5" bottom="0.5" header="0.25" footer="0.25"/>
  <pageSetup paperSize="5" orientation="portrait" r:id="rId5"/>
  <headerFooter alignWithMargins="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1">
    <tabColor theme="7" tint="0.39997558519241921"/>
  </sheetPr>
  <dimension ref="A2:V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0.6640625" style="331" customWidth="1"/>
    <col min="5" max="12" width="15.6640625" style="331" customWidth="1"/>
    <col min="13" max="16384" width="9.109375" style="331"/>
  </cols>
  <sheetData>
    <row r="2" spans="1:22" ht="20.399999999999999">
      <c r="B2" s="1788" t="str">
        <f>"ANALYSIS  OF "&amp;UPPER('KEY INPUTS'!D56)&amp;" UTILITY  ASSESSMENT  TRUST  CASH  AND  INVESTMENTS"</f>
        <v>ANALYSIS  OF  UTILITY  ASSESSMENT  TRUST  CASH  AND  INVESTMENTS</v>
      </c>
      <c r="C2" s="1788"/>
      <c r="D2" s="1788"/>
      <c r="E2" s="1788"/>
      <c r="F2" s="1788"/>
      <c r="G2" s="1788"/>
      <c r="H2" s="1788"/>
      <c r="I2" s="1788"/>
      <c r="J2" s="1788"/>
      <c r="K2" s="1788"/>
      <c r="L2" s="1788"/>
    </row>
    <row r="3" spans="1:22" ht="21" thickBot="1">
      <c r="B3" s="1788" t="s">
        <v>1054</v>
      </c>
      <c r="C3" s="1788"/>
      <c r="D3" s="1788"/>
      <c r="E3" s="1788"/>
      <c r="F3" s="1788"/>
      <c r="G3" s="1788"/>
      <c r="H3" s="1788"/>
      <c r="I3" s="1788"/>
      <c r="J3" s="1788"/>
      <c r="K3" s="1788"/>
      <c r="L3" s="1788"/>
    </row>
    <row r="4" spans="1:22" ht="13.8" thickTop="1">
      <c r="B4" s="1142"/>
      <c r="C4" s="1142"/>
      <c r="D4" s="1142"/>
      <c r="E4" s="1143" t="s">
        <v>670</v>
      </c>
      <c r="F4" s="1142"/>
      <c r="G4" s="1142"/>
      <c r="H4" s="1142"/>
      <c r="I4" s="1142"/>
      <c r="J4" s="1144"/>
      <c r="K4" s="1142"/>
      <c r="L4" s="1145"/>
    </row>
    <row r="5" spans="1:22" ht="15.6">
      <c r="B5" s="1146"/>
      <c r="C5" s="1146" t="s">
        <v>678</v>
      </c>
      <c r="D5" s="1146"/>
      <c r="E5" s="1147" t="s">
        <v>671</v>
      </c>
      <c r="F5" s="1789" t="s">
        <v>672</v>
      </c>
      <c r="G5" s="1790"/>
      <c r="H5" s="1790"/>
      <c r="I5" s="1791"/>
      <c r="J5" s="1148"/>
      <c r="K5" s="1146"/>
      <c r="L5" s="1149" t="s">
        <v>671</v>
      </c>
    </row>
    <row r="6" spans="1:22">
      <c r="B6" s="1146"/>
      <c r="C6" s="1146" t="s">
        <v>679</v>
      </c>
      <c r="D6" s="1146"/>
      <c r="E6" s="1150" t="str">
        <f>'KEY INPUTS'!D45</f>
        <v>Dec. 31, 2018</v>
      </c>
      <c r="F6" s="1147" t="s">
        <v>673</v>
      </c>
      <c r="G6" s="1147" t="s">
        <v>320</v>
      </c>
      <c r="H6" s="1148"/>
      <c r="I6" s="1148"/>
      <c r="J6" s="1148"/>
      <c r="K6" s="1151" t="s">
        <v>677</v>
      </c>
      <c r="L6" s="1152" t="str">
        <f>'KEY INPUTS'!D46</f>
        <v>Dec. 31, 2019</v>
      </c>
    </row>
    <row r="7" spans="1:22" ht="13.8" thickBot="1">
      <c r="B7" s="1153"/>
      <c r="C7" s="1153"/>
      <c r="D7" s="1153"/>
      <c r="E7" s="1154"/>
      <c r="F7" s="1155" t="s">
        <v>674</v>
      </c>
      <c r="G7" s="1155" t="s">
        <v>676</v>
      </c>
      <c r="H7" s="1154"/>
      <c r="I7" s="1154"/>
      <c r="J7" s="1154"/>
      <c r="K7" s="1156"/>
      <c r="L7" s="1157"/>
    </row>
    <row r="8" spans="1:22" ht="21" customHeight="1" thickTop="1">
      <c r="B8" s="1158" t="s">
        <v>781</v>
      </c>
      <c r="C8" s="1158"/>
      <c r="D8" s="1159"/>
      <c r="E8" s="1088" t="s">
        <v>787</v>
      </c>
      <c r="F8" s="1088" t="s">
        <v>787</v>
      </c>
      <c r="G8" s="1088" t="s">
        <v>787</v>
      </c>
      <c r="H8" s="1088" t="s">
        <v>787</v>
      </c>
      <c r="I8" s="1088" t="s">
        <v>787</v>
      </c>
      <c r="J8" s="1088" t="s">
        <v>787</v>
      </c>
      <c r="K8" s="1088" t="s">
        <v>787</v>
      </c>
      <c r="L8" s="867" t="s">
        <v>787</v>
      </c>
      <c r="P8" s="322"/>
      <c r="Q8" s="322"/>
      <c r="R8" s="322"/>
      <c r="S8" s="322"/>
      <c r="T8" s="322"/>
      <c r="U8" s="322"/>
      <c r="V8" s="322"/>
    </row>
    <row r="9" spans="1:22" ht="21" customHeight="1">
      <c r="B9" s="648"/>
      <c r="C9" s="648"/>
      <c r="D9" s="652"/>
      <c r="E9" s="601"/>
      <c r="F9" s="601"/>
      <c r="G9" s="601"/>
      <c r="H9" s="601"/>
      <c r="I9" s="601"/>
      <c r="J9" s="601"/>
      <c r="K9" s="601"/>
      <c r="L9" s="1081">
        <f>+E9+F9+G9+H9+I9+J9-K9</f>
        <v>0</v>
      </c>
      <c r="P9" s="322"/>
      <c r="Q9" s="322"/>
      <c r="R9" s="322"/>
      <c r="S9" s="322"/>
      <c r="T9" s="322"/>
      <c r="U9" s="322"/>
      <c r="V9" s="322"/>
    </row>
    <row r="10" spans="1:22" ht="21" customHeight="1">
      <c r="B10" s="648"/>
      <c r="C10" s="648"/>
      <c r="D10" s="652"/>
      <c r="E10" s="601"/>
      <c r="F10" s="601"/>
      <c r="G10" s="601"/>
      <c r="H10" s="601"/>
      <c r="I10" s="601"/>
      <c r="J10" s="601"/>
      <c r="K10" s="601"/>
      <c r="L10" s="1081">
        <f t="shared" ref="L10:L25" si="0">+E10+F10+G10+H10+I10+J10-K10</f>
        <v>0</v>
      </c>
      <c r="P10" s="377"/>
      <c r="Q10" s="322"/>
      <c r="R10" s="322"/>
      <c r="S10" s="322"/>
      <c r="T10" s="322"/>
      <c r="U10" s="322"/>
      <c r="V10" s="322"/>
    </row>
    <row r="11" spans="1:22" ht="21" customHeight="1">
      <c r="B11" s="648"/>
      <c r="C11" s="648"/>
      <c r="D11" s="652"/>
      <c r="E11" s="601"/>
      <c r="F11" s="601"/>
      <c r="G11" s="601"/>
      <c r="H11" s="601"/>
      <c r="I11" s="601"/>
      <c r="J11" s="601"/>
      <c r="K11" s="601"/>
      <c r="L11" s="1081">
        <f t="shared" si="0"/>
        <v>0</v>
      </c>
      <c r="P11" s="322"/>
      <c r="Q11" s="322"/>
      <c r="R11" s="322"/>
      <c r="S11" s="322"/>
      <c r="T11" s="322"/>
      <c r="U11" s="322"/>
      <c r="V11" s="322"/>
    </row>
    <row r="12" spans="1:22" ht="21" customHeight="1">
      <c r="B12" s="648"/>
      <c r="C12" s="648"/>
      <c r="D12" s="652"/>
      <c r="E12" s="601"/>
      <c r="F12" s="601"/>
      <c r="G12" s="601"/>
      <c r="H12" s="601"/>
      <c r="I12" s="601"/>
      <c r="J12" s="601"/>
      <c r="K12" s="601"/>
      <c r="L12" s="1081">
        <f t="shared" si="0"/>
        <v>0</v>
      </c>
      <c r="P12" s="322"/>
      <c r="Q12" s="322"/>
      <c r="R12" s="322"/>
      <c r="S12" s="322"/>
      <c r="T12" s="322"/>
      <c r="U12" s="322"/>
      <c r="V12" s="322"/>
    </row>
    <row r="13" spans="1:22" ht="21" customHeight="1">
      <c r="B13" s="648"/>
      <c r="C13" s="648"/>
      <c r="D13" s="652"/>
      <c r="E13" s="604"/>
      <c r="F13" s="601"/>
      <c r="G13" s="601"/>
      <c r="H13" s="601"/>
      <c r="I13" s="601"/>
      <c r="J13" s="601"/>
      <c r="K13" s="601"/>
      <c r="L13" s="1081">
        <f t="shared" si="0"/>
        <v>0</v>
      </c>
      <c r="P13" s="322"/>
      <c r="Q13" s="322"/>
      <c r="R13" s="322"/>
      <c r="S13" s="322"/>
      <c r="T13" s="322"/>
      <c r="U13" s="322"/>
      <c r="V13" s="322"/>
    </row>
    <row r="14" spans="1:22" ht="21" customHeight="1">
      <c r="B14" s="1139" t="s">
        <v>782</v>
      </c>
      <c r="C14" s="1139"/>
      <c r="D14" s="1165"/>
      <c r="E14" s="973" t="s">
        <v>787</v>
      </c>
      <c r="F14" s="973" t="s">
        <v>787</v>
      </c>
      <c r="G14" s="973" t="s">
        <v>787</v>
      </c>
      <c r="H14" s="973" t="s">
        <v>787</v>
      </c>
      <c r="I14" s="973" t="s">
        <v>787</v>
      </c>
      <c r="J14" s="973" t="s">
        <v>787</v>
      </c>
      <c r="K14" s="973" t="s">
        <v>787</v>
      </c>
      <c r="L14" s="869" t="s">
        <v>787</v>
      </c>
      <c r="P14" s="322"/>
      <c r="Q14" s="322"/>
      <c r="R14" s="322"/>
      <c r="S14" s="322"/>
      <c r="T14" s="322"/>
      <c r="U14" s="322"/>
      <c r="V14" s="322"/>
    </row>
    <row r="15" spans="1:22" ht="21" customHeight="1">
      <c r="A15" s="1792" t="s">
        <v>3416</v>
      </c>
      <c r="B15" s="648"/>
      <c r="C15" s="648"/>
      <c r="D15" s="652"/>
      <c r="E15" s="601"/>
      <c r="F15" s="601"/>
      <c r="G15" s="601"/>
      <c r="H15" s="601"/>
      <c r="I15" s="601"/>
      <c r="J15" s="601"/>
      <c r="K15" s="601"/>
      <c r="L15" s="1081">
        <f t="shared" si="0"/>
        <v>0</v>
      </c>
      <c r="P15" s="322"/>
      <c r="Q15" s="322"/>
      <c r="R15" s="322"/>
      <c r="S15" s="322"/>
      <c r="T15" s="322"/>
      <c r="U15" s="322"/>
      <c r="V15" s="322"/>
    </row>
    <row r="16" spans="1:22" ht="21" customHeight="1">
      <c r="A16" s="1792"/>
      <c r="B16" s="648"/>
      <c r="C16" s="648"/>
      <c r="D16" s="652"/>
      <c r="E16" s="601"/>
      <c r="F16" s="601"/>
      <c r="G16" s="601"/>
      <c r="H16" s="601"/>
      <c r="I16" s="601"/>
      <c r="J16" s="601"/>
      <c r="K16" s="601"/>
      <c r="L16" s="1081">
        <f t="shared" si="0"/>
        <v>0</v>
      </c>
      <c r="P16" s="322"/>
      <c r="Q16" s="322"/>
      <c r="R16" s="322"/>
      <c r="S16" s="322"/>
      <c r="T16" s="322"/>
      <c r="U16" s="322"/>
      <c r="V16" s="322"/>
    </row>
    <row r="17" spans="1:22" ht="21" customHeight="1">
      <c r="A17" s="1792"/>
      <c r="B17" s="648"/>
      <c r="C17" s="648"/>
      <c r="D17" s="652"/>
      <c r="E17" s="601"/>
      <c r="F17" s="601"/>
      <c r="G17" s="601"/>
      <c r="H17" s="601"/>
      <c r="I17" s="601"/>
      <c r="J17" s="601"/>
      <c r="K17" s="601"/>
      <c r="L17" s="1081">
        <f t="shared" si="0"/>
        <v>0</v>
      </c>
      <c r="P17" s="322"/>
      <c r="Q17" s="322"/>
      <c r="R17" s="322"/>
      <c r="S17" s="322"/>
      <c r="T17" s="322"/>
      <c r="U17" s="322"/>
      <c r="V17" s="322"/>
    </row>
    <row r="18" spans="1:22" ht="21" customHeight="1">
      <c r="B18" s="648"/>
      <c r="C18" s="648"/>
      <c r="D18" s="652"/>
      <c r="E18" s="601"/>
      <c r="F18" s="601"/>
      <c r="G18" s="601"/>
      <c r="H18" s="601"/>
      <c r="I18" s="601"/>
      <c r="J18" s="601"/>
      <c r="K18" s="601"/>
      <c r="L18" s="1081">
        <f t="shared" si="0"/>
        <v>0</v>
      </c>
      <c r="P18" s="322"/>
      <c r="Q18" s="322"/>
      <c r="R18" s="322"/>
      <c r="S18" s="322"/>
      <c r="T18" s="322"/>
      <c r="U18" s="322"/>
      <c r="V18" s="322"/>
    </row>
    <row r="19" spans="1:22" ht="21" customHeight="1">
      <c r="B19" s="1139" t="s">
        <v>783</v>
      </c>
      <c r="C19" s="1139"/>
      <c r="D19" s="1165"/>
      <c r="E19" s="601"/>
      <c r="F19" s="601"/>
      <c r="G19" s="601"/>
      <c r="H19" s="601"/>
      <c r="I19" s="601"/>
      <c r="J19" s="601"/>
      <c r="K19" s="601"/>
      <c r="L19" s="1081">
        <f t="shared" si="0"/>
        <v>0</v>
      </c>
      <c r="P19" s="322"/>
      <c r="Q19" s="322"/>
      <c r="R19" s="322"/>
      <c r="S19" s="322"/>
      <c r="T19" s="322"/>
      <c r="U19" s="322"/>
      <c r="V19" s="322"/>
    </row>
    <row r="20" spans="1:22" ht="21" customHeight="1">
      <c r="B20" s="1139" t="s">
        <v>784</v>
      </c>
      <c r="C20" s="1139"/>
      <c r="D20" s="1165"/>
      <c r="E20" s="601"/>
      <c r="F20" s="601"/>
      <c r="G20" s="601"/>
      <c r="H20" s="601"/>
      <c r="I20" s="601"/>
      <c r="J20" s="601"/>
      <c r="K20" s="601"/>
      <c r="L20" s="1081">
        <f t="shared" si="0"/>
        <v>0</v>
      </c>
      <c r="P20" s="322"/>
      <c r="Q20" s="322"/>
      <c r="R20" s="322"/>
      <c r="S20" s="322"/>
      <c r="T20" s="322"/>
      <c r="U20" s="322"/>
      <c r="V20" s="322"/>
    </row>
    <row r="21" spans="1:22" ht="21" customHeight="1">
      <c r="B21" s="1139" t="s">
        <v>321</v>
      </c>
      <c r="C21" s="1139"/>
      <c r="D21" s="1165"/>
      <c r="E21" s="973" t="s">
        <v>787</v>
      </c>
      <c r="F21" s="973" t="s">
        <v>787</v>
      </c>
      <c r="G21" s="973" t="s">
        <v>787</v>
      </c>
      <c r="H21" s="973" t="s">
        <v>787</v>
      </c>
      <c r="I21" s="973" t="s">
        <v>787</v>
      </c>
      <c r="J21" s="973" t="s">
        <v>787</v>
      </c>
      <c r="K21" s="973" t="s">
        <v>787</v>
      </c>
      <c r="L21" s="869" t="s">
        <v>787</v>
      </c>
      <c r="P21" s="322"/>
      <c r="Q21" s="322"/>
      <c r="R21" s="322"/>
      <c r="S21" s="322"/>
      <c r="T21" s="322"/>
      <c r="U21" s="322"/>
      <c r="V21" s="322"/>
    </row>
    <row r="22" spans="1:22" ht="21" customHeight="1">
      <c r="B22" s="648"/>
      <c r="C22" s="648"/>
      <c r="D22" s="652"/>
      <c r="E22" s="601"/>
      <c r="F22" s="601"/>
      <c r="G22" s="601"/>
      <c r="H22" s="601"/>
      <c r="I22" s="601"/>
      <c r="J22" s="601"/>
      <c r="K22" s="601"/>
      <c r="L22" s="1081">
        <f t="shared" si="0"/>
        <v>0</v>
      </c>
      <c r="P22" s="322"/>
      <c r="Q22" s="322"/>
      <c r="R22" s="322"/>
      <c r="S22" s="322"/>
      <c r="T22" s="322"/>
      <c r="U22" s="322"/>
      <c r="V22" s="322"/>
    </row>
    <row r="23" spans="1:22" ht="21" customHeight="1">
      <c r="B23" s="648"/>
      <c r="C23" s="648"/>
      <c r="D23" s="652"/>
      <c r="E23" s="601"/>
      <c r="F23" s="601"/>
      <c r="G23" s="601"/>
      <c r="H23" s="601"/>
      <c r="I23" s="601"/>
      <c r="J23" s="601"/>
      <c r="K23" s="601"/>
      <c r="L23" s="1081">
        <f t="shared" si="0"/>
        <v>0</v>
      </c>
      <c r="P23" s="322"/>
      <c r="Q23" s="322"/>
      <c r="R23" s="322"/>
      <c r="S23" s="322"/>
      <c r="T23" s="322"/>
      <c r="U23" s="322"/>
      <c r="V23" s="322"/>
    </row>
    <row r="24" spans="1:22" ht="21" customHeight="1">
      <c r="B24" s="648"/>
      <c r="C24" s="648"/>
      <c r="D24" s="652"/>
      <c r="E24" s="601"/>
      <c r="F24" s="601"/>
      <c r="G24" s="601"/>
      <c r="H24" s="601"/>
      <c r="I24" s="601"/>
      <c r="J24" s="601"/>
      <c r="K24" s="601"/>
      <c r="L24" s="1081">
        <f t="shared" si="0"/>
        <v>0</v>
      </c>
      <c r="P24" s="322"/>
      <c r="Q24" s="322"/>
      <c r="R24" s="322"/>
      <c r="S24" s="322"/>
      <c r="T24" s="322"/>
      <c r="U24" s="322"/>
      <c r="V24" s="322"/>
    </row>
    <row r="25" spans="1:22" ht="21" customHeight="1" thickBot="1">
      <c r="B25" s="648"/>
      <c r="C25" s="648"/>
      <c r="D25" s="652"/>
      <c r="E25" s="627"/>
      <c r="F25" s="627"/>
      <c r="G25" s="627"/>
      <c r="H25" s="627"/>
      <c r="I25" s="627"/>
      <c r="J25" s="627"/>
      <c r="K25" s="627"/>
      <c r="L25" s="1160">
        <f t="shared" si="0"/>
        <v>0</v>
      </c>
    </row>
    <row r="26" spans="1:22" ht="21" customHeight="1" thickTop="1" thickBot="1">
      <c r="B26" s="1162"/>
      <c r="C26" s="1162"/>
      <c r="D26" s="1163"/>
      <c r="E26" s="1083">
        <f t="shared" ref="E26:K26" si="1">SUM(E9:E25)</f>
        <v>0</v>
      </c>
      <c r="F26" s="1083">
        <f t="shared" si="1"/>
        <v>0</v>
      </c>
      <c r="G26" s="1083">
        <f t="shared" si="1"/>
        <v>0</v>
      </c>
      <c r="H26" s="1083">
        <f t="shared" si="1"/>
        <v>0</v>
      </c>
      <c r="I26" s="1083">
        <f t="shared" si="1"/>
        <v>0</v>
      </c>
      <c r="J26" s="1083">
        <f t="shared" si="1"/>
        <v>0</v>
      </c>
      <c r="K26" s="1083">
        <f t="shared" si="1"/>
        <v>0</v>
      </c>
      <c r="L26" s="1161">
        <f>SUM(L9:L25)</f>
        <v>0</v>
      </c>
    </row>
    <row r="27" spans="1:22" ht="13.8" thickTop="1">
      <c r="B27" s="1164" t="s">
        <v>786</v>
      </c>
      <c r="C27" s="1146"/>
      <c r="D27" s="1146"/>
      <c r="E27" s="1146"/>
      <c r="F27" s="1146"/>
      <c r="G27" s="1146"/>
      <c r="H27" s="1146"/>
      <c r="I27" s="1146"/>
      <c r="J27" s="1146"/>
      <c r="K27" s="1146"/>
      <c r="L27" s="1146"/>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4">
    <mergeCell ref="B2:L2"/>
    <mergeCell ref="B3:L3"/>
    <mergeCell ref="F5:I5"/>
    <mergeCell ref="A15:A17"/>
  </mergeCells>
  <pageMargins left="0.25" right="0.25" top="0.5" bottom="0.5" header="0.25" footer="0.25"/>
  <pageSetup paperSize="5" orientation="landscape" r:id="rId5"/>
  <headerFooter alignWithMargins="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Sheet252">
    <tabColor theme="7" tint="0.39997558519241921"/>
  </sheetPr>
  <dimension ref="B1:T55"/>
  <sheetViews>
    <sheetView zoomScaleNormal="100" zoomScaleSheetLayoutView="80" workbookViewId="0">
      <selection activeCell="B13" sqref="B13"/>
    </sheetView>
  </sheetViews>
  <sheetFormatPr defaultColWidth="8.88671875" defaultRowHeight="13.2"/>
  <cols>
    <col min="1" max="1" width="4.6640625" style="398" customWidth="1"/>
    <col min="2" max="3" width="3.6640625" style="398" customWidth="1"/>
    <col min="4" max="4" width="4.6640625" style="398" customWidth="1"/>
    <col min="5" max="5" width="8.88671875" style="398"/>
    <col min="6" max="6" width="16.6640625" style="398" customWidth="1"/>
    <col min="7" max="7" width="8.6640625" style="398" customWidth="1"/>
    <col min="8" max="10" width="16.6640625" style="398" customWidth="1"/>
    <col min="11" max="11" width="8.88671875" style="398"/>
    <col min="12" max="12" width="11.33203125" style="398" bestFit="1" customWidth="1"/>
    <col min="13" max="16384" width="8.88671875" style="398"/>
  </cols>
  <sheetData>
    <row r="1" spans="2:20">
      <c r="B1" s="1114"/>
      <c r="C1" s="1114"/>
      <c r="D1" s="1114"/>
      <c r="E1" s="1114"/>
      <c r="F1" s="1114"/>
      <c r="G1" s="1114"/>
      <c r="H1" s="1114"/>
      <c r="I1" s="1114"/>
      <c r="J1" s="1114"/>
    </row>
    <row r="2" spans="2:20" ht="22.8">
      <c r="B2" s="1759" t="str">
        <f>"SCHEDULE  OF "&amp;UPPER('KEY INPUTS'!D56)&amp;" UTILITY  BUDGET  -  "&amp;TEXT('KEY INPUTS'!D34,"0")&amp;""</f>
        <v>SCHEDULE  OF  UTILITY  BUDGET  -  2019</v>
      </c>
      <c r="C2" s="1759"/>
      <c r="D2" s="1759"/>
      <c r="E2" s="1759"/>
      <c r="F2" s="1759"/>
      <c r="G2" s="1759"/>
      <c r="H2" s="1759"/>
      <c r="I2" s="1759"/>
      <c r="J2" s="1759"/>
    </row>
    <row r="3" spans="2:20" ht="12" customHeight="1">
      <c r="B3" s="1301"/>
      <c r="C3" s="1301"/>
      <c r="D3" s="1301"/>
      <c r="E3" s="1301"/>
      <c r="F3" s="1301"/>
      <c r="G3" s="1301"/>
      <c r="H3" s="1301"/>
      <c r="I3" s="1301"/>
      <c r="J3" s="1301"/>
    </row>
    <row r="4" spans="2:20" ht="17.25" customHeight="1" thickBot="1">
      <c r="B4" s="1919" t="s">
        <v>1055</v>
      </c>
      <c r="C4" s="1919"/>
      <c r="D4" s="1919"/>
      <c r="E4" s="1919"/>
      <c r="F4" s="1919"/>
      <c r="G4" s="1919"/>
      <c r="H4" s="1919"/>
      <c r="I4" s="1919"/>
      <c r="J4" s="1919"/>
    </row>
    <row r="5" spans="2:20" ht="13.8" thickTop="1">
      <c r="B5" s="1920" t="s">
        <v>211</v>
      </c>
      <c r="C5" s="1920"/>
      <c r="D5" s="1920"/>
      <c r="E5" s="1920"/>
      <c r="F5" s="1920"/>
      <c r="G5" s="1885"/>
      <c r="H5" s="1238" t="s">
        <v>676</v>
      </c>
      <c r="I5" s="1238" t="s">
        <v>803</v>
      </c>
      <c r="J5" s="1302" t="s">
        <v>424</v>
      </c>
    </row>
    <row r="6" spans="2:20" ht="13.8" thickBot="1">
      <c r="B6" s="1921"/>
      <c r="C6" s="1921"/>
      <c r="D6" s="1921"/>
      <c r="E6" s="1921"/>
      <c r="F6" s="1921"/>
      <c r="G6" s="1922"/>
      <c r="H6" s="1303"/>
      <c r="I6" s="1303" t="s">
        <v>423</v>
      </c>
      <c r="J6" s="1304" t="s">
        <v>425</v>
      </c>
    </row>
    <row r="7" spans="2:20" ht="21" customHeight="1" thickTop="1">
      <c r="B7" s="1170" t="s">
        <v>3433</v>
      </c>
      <c r="C7" s="1170"/>
      <c r="D7" s="1170"/>
      <c r="E7" s="1170"/>
      <c r="F7" s="1170"/>
      <c r="G7" s="1305" t="s">
        <v>3432</v>
      </c>
      <c r="H7" s="605"/>
      <c r="I7" s="1309">
        <f>H7</f>
        <v>0</v>
      </c>
      <c r="J7" s="1203">
        <f>+I7-H7</f>
        <v>0</v>
      </c>
    </row>
    <row r="8" spans="2:20" ht="10.5" customHeight="1">
      <c r="B8" s="1209" t="s">
        <v>3431</v>
      </c>
      <c r="C8" s="1114"/>
      <c r="D8" s="1114"/>
      <c r="E8" s="1114"/>
      <c r="F8" s="1114"/>
      <c r="G8" s="1306"/>
      <c r="H8" s="1308"/>
      <c r="I8" s="1308"/>
      <c r="J8" s="1118"/>
    </row>
    <row r="9" spans="2:20">
      <c r="B9" s="1128" t="s">
        <v>214</v>
      </c>
      <c r="C9" s="1128"/>
      <c r="D9" s="1128"/>
      <c r="E9" s="1128"/>
      <c r="F9" s="1128"/>
      <c r="G9" s="1307" t="s">
        <v>3430</v>
      </c>
      <c r="H9" s="653"/>
      <c r="I9" s="653"/>
      <c r="J9" s="858">
        <f t="shared" ref="J9:J15" si="0">+I9-H9</f>
        <v>0</v>
      </c>
    </row>
    <row r="10" spans="2:20" ht="21" customHeight="1">
      <c r="B10" s="648"/>
      <c r="C10" s="648"/>
      <c r="D10" s="648"/>
      <c r="E10" s="648"/>
      <c r="F10" s="648"/>
      <c r="G10" s="1166"/>
      <c r="H10" s="780"/>
      <c r="I10" s="780"/>
      <c r="J10" s="1310">
        <f t="shared" si="0"/>
        <v>0</v>
      </c>
      <c r="N10" s="322"/>
      <c r="O10" s="322"/>
      <c r="P10" s="322"/>
      <c r="Q10" s="322"/>
      <c r="R10" s="322"/>
      <c r="S10" s="322"/>
      <c r="T10" s="322"/>
    </row>
    <row r="11" spans="2:20" ht="21" customHeight="1">
      <c r="B11" s="648"/>
      <c r="C11" s="648"/>
      <c r="D11" s="648"/>
      <c r="E11" s="648"/>
      <c r="F11" s="648"/>
      <c r="G11" s="1166"/>
      <c r="H11" s="780"/>
      <c r="I11" s="780"/>
      <c r="J11" s="1124">
        <f t="shared" si="0"/>
        <v>0</v>
      </c>
      <c r="N11" s="322"/>
      <c r="O11" s="322"/>
      <c r="P11" s="322"/>
      <c r="Q11" s="322"/>
      <c r="R11" s="322"/>
      <c r="S11" s="322"/>
      <c r="T11" s="322"/>
    </row>
    <row r="12" spans="2:20" ht="21" customHeight="1">
      <c r="B12" s="648"/>
      <c r="C12" s="648"/>
      <c r="D12" s="648"/>
      <c r="E12" s="648"/>
      <c r="F12" s="648"/>
      <c r="G12" s="1166"/>
      <c r="H12" s="780"/>
      <c r="I12" s="780"/>
      <c r="J12" s="1124">
        <f t="shared" si="0"/>
        <v>0</v>
      </c>
      <c r="N12" s="377"/>
      <c r="O12" s="322"/>
      <c r="P12" s="322"/>
      <c r="Q12" s="322"/>
      <c r="R12" s="322"/>
      <c r="S12" s="322"/>
      <c r="T12" s="322"/>
    </row>
    <row r="13" spans="2:20" ht="21" customHeight="1">
      <c r="B13" s="648"/>
      <c r="C13" s="648"/>
      <c r="D13" s="648"/>
      <c r="E13" s="648"/>
      <c r="F13" s="648"/>
      <c r="G13" s="1166"/>
      <c r="H13" s="780"/>
      <c r="I13" s="780"/>
      <c r="J13" s="1124">
        <f t="shared" si="0"/>
        <v>0</v>
      </c>
      <c r="N13" s="322"/>
      <c r="O13" s="322"/>
      <c r="P13" s="322"/>
      <c r="Q13" s="322"/>
      <c r="R13" s="322"/>
      <c r="S13" s="322"/>
      <c r="T13" s="322"/>
    </row>
    <row r="14" spans="2:20" ht="21" customHeight="1">
      <c r="B14" s="648"/>
      <c r="C14" s="648"/>
      <c r="D14" s="648"/>
      <c r="E14" s="648"/>
      <c r="F14" s="648"/>
      <c r="G14" s="1166"/>
      <c r="H14" s="780"/>
      <c r="I14" s="780"/>
      <c r="J14" s="1124">
        <f t="shared" si="0"/>
        <v>0</v>
      </c>
      <c r="N14" s="322"/>
      <c r="O14" s="322"/>
      <c r="P14" s="322"/>
      <c r="Q14" s="322"/>
      <c r="R14" s="322"/>
      <c r="S14" s="322"/>
      <c r="T14" s="322"/>
    </row>
    <row r="15" spans="2:20" ht="21" customHeight="1">
      <c r="B15" s="690" t="s">
        <v>3429</v>
      </c>
      <c r="C15" s="690"/>
      <c r="D15" s="690"/>
      <c r="E15" s="690"/>
      <c r="F15" s="690"/>
      <c r="G15" s="1307" t="s">
        <v>3425</v>
      </c>
      <c r="H15" s="780"/>
      <c r="I15" s="780"/>
      <c r="J15" s="1124">
        <f t="shared" si="0"/>
        <v>0</v>
      </c>
      <c r="N15" s="322"/>
      <c r="O15" s="322"/>
      <c r="P15" s="322"/>
      <c r="Q15" s="322"/>
      <c r="R15" s="322"/>
      <c r="S15" s="322"/>
      <c r="T15" s="322"/>
    </row>
    <row r="16" spans="2:20" ht="21" customHeight="1">
      <c r="B16" s="690" t="s">
        <v>3428</v>
      </c>
      <c r="C16" s="690"/>
      <c r="D16" s="690"/>
      <c r="E16" s="690"/>
      <c r="F16" s="690"/>
      <c r="G16" s="1307"/>
      <c r="H16" s="780"/>
      <c r="I16" s="780"/>
      <c r="J16" s="1124"/>
      <c r="N16" s="322"/>
      <c r="O16" s="322"/>
      <c r="P16" s="322"/>
      <c r="Q16" s="322"/>
      <c r="R16" s="322"/>
      <c r="S16" s="322"/>
      <c r="T16" s="322"/>
    </row>
    <row r="17" spans="2:20" ht="21" customHeight="1">
      <c r="B17" s="690" t="s">
        <v>422</v>
      </c>
      <c r="C17" s="690"/>
      <c r="D17" s="690"/>
      <c r="E17" s="690"/>
      <c r="F17" s="690"/>
      <c r="G17" s="1307"/>
      <c r="H17" s="1174" t="s">
        <v>787</v>
      </c>
      <c r="I17" s="1174" t="s">
        <v>787</v>
      </c>
      <c r="J17" s="1300" t="s">
        <v>787</v>
      </c>
      <c r="N17" s="322"/>
      <c r="O17" s="322"/>
      <c r="P17" s="322"/>
      <c r="Q17" s="322"/>
      <c r="R17" s="322"/>
      <c r="S17" s="322"/>
      <c r="T17" s="322"/>
    </row>
    <row r="18" spans="2:20" ht="21" customHeight="1">
      <c r="B18" s="648"/>
      <c r="C18" s="648"/>
      <c r="D18" s="648"/>
      <c r="E18" s="648"/>
      <c r="F18" s="648"/>
      <c r="G18" s="648"/>
      <c r="H18" s="601"/>
      <c r="I18" s="601"/>
      <c r="J18" s="609"/>
      <c r="N18" s="322"/>
      <c r="O18" s="322"/>
      <c r="P18" s="322"/>
      <c r="Q18" s="322"/>
      <c r="R18" s="322"/>
      <c r="S18" s="322"/>
      <c r="T18" s="322"/>
    </row>
    <row r="19" spans="2:20" ht="21" customHeight="1" thickBot="1">
      <c r="B19" s="648"/>
      <c r="C19" s="648"/>
      <c r="D19" s="648"/>
      <c r="E19" s="648"/>
      <c r="F19" s="648"/>
      <c r="G19" s="648"/>
      <c r="H19" s="627"/>
      <c r="I19" s="627"/>
      <c r="J19" s="671"/>
      <c r="N19" s="322"/>
      <c r="O19" s="322"/>
      <c r="P19" s="322"/>
      <c r="Q19" s="322"/>
      <c r="R19" s="322"/>
      <c r="S19" s="322"/>
      <c r="T19" s="322"/>
    </row>
    <row r="20" spans="2:20" ht="21" customHeight="1" thickTop="1">
      <c r="B20" s="690"/>
      <c r="C20" s="690"/>
      <c r="D20" s="690" t="s">
        <v>421</v>
      </c>
      <c r="E20" s="690"/>
      <c r="F20" s="690"/>
      <c r="G20" s="1312"/>
      <c r="H20" s="1315">
        <f>SUM(H7:H19)</f>
        <v>0</v>
      </c>
      <c r="I20" s="1315">
        <f>SUM(I7:I19)</f>
        <v>0</v>
      </c>
      <c r="J20" s="858">
        <f>SUM(J7:J19)</f>
        <v>0</v>
      </c>
      <c r="N20" s="322"/>
      <c r="O20" s="322"/>
      <c r="P20" s="322"/>
      <c r="Q20" s="322"/>
      <c r="R20" s="322"/>
      <c r="S20" s="322"/>
      <c r="T20" s="322"/>
    </row>
    <row r="21" spans="2:20" ht="21" customHeight="1" thickBot="1">
      <c r="B21" s="690" t="s">
        <v>3427</v>
      </c>
      <c r="C21" s="1313"/>
      <c r="D21" s="1313"/>
      <c r="E21" s="690"/>
      <c r="F21" s="690"/>
      <c r="G21" s="1307" t="s">
        <v>3426</v>
      </c>
      <c r="H21" s="654"/>
      <c r="I21" s="654"/>
      <c r="J21" s="1118">
        <f>I21-H21</f>
        <v>0</v>
      </c>
      <c r="N21" s="322"/>
      <c r="O21" s="322"/>
      <c r="P21" s="322"/>
      <c r="Q21" s="322"/>
      <c r="R21" s="322"/>
      <c r="S21" s="322"/>
      <c r="T21" s="322"/>
    </row>
    <row r="22" spans="2:20" ht="21" customHeight="1" thickTop="1" thickBot="1">
      <c r="B22" s="1114"/>
      <c r="C22" s="1114"/>
      <c r="D22" s="1114"/>
      <c r="E22" s="1114"/>
      <c r="F22" s="1114"/>
      <c r="G22" s="1314" t="s">
        <v>3425</v>
      </c>
      <c r="H22" s="1316">
        <f>+H20+H21</f>
        <v>0</v>
      </c>
      <c r="I22" s="1316">
        <f>+I20+I21</f>
        <v>0</v>
      </c>
      <c r="J22" s="1311">
        <f>+J20+J21</f>
        <v>0</v>
      </c>
      <c r="L22" s="399" t="s">
        <v>3406</v>
      </c>
      <c r="N22" s="322"/>
      <c r="O22" s="322"/>
      <c r="P22" s="322"/>
      <c r="Q22" s="322"/>
      <c r="R22" s="322"/>
      <c r="S22" s="322"/>
      <c r="T22" s="322"/>
    </row>
    <row r="23" spans="2:20" ht="13.8" thickTop="1">
      <c r="B23" s="427" t="s">
        <v>3424</v>
      </c>
      <c r="N23" s="322"/>
      <c r="O23" s="322"/>
      <c r="P23" s="322"/>
      <c r="Q23" s="322"/>
      <c r="R23" s="322"/>
      <c r="S23" s="322"/>
      <c r="T23" s="322"/>
    </row>
    <row r="24" spans="2:20">
      <c r="B24" s="427" t="s">
        <v>3423</v>
      </c>
      <c r="N24" s="322"/>
      <c r="O24" s="322"/>
      <c r="P24" s="322"/>
      <c r="Q24" s="322"/>
      <c r="R24" s="322"/>
      <c r="S24" s="322"/>
      <c r="T24" s="322"/>
    </row>
    <row r="25" spans="2:20">
      <c r="N25" s="322"/>
      <c r="O25" s="322"/>
      <c r="P25" s="322"/>
      <c r="Q25" s="322"/>
      <c r="R25" s="322"/>
      <c r="S25" s="322"/>
      <c r="T25" s="322"/>
    </row>
    <row r="26" spans="2:20">
      <c r="N26" s="322"/>
      <c r="O26" s="322"/>
      <c r="P26" s="322"/>
      <c r="Q26" s="322"/>
      <c r="R26" s="322"/>
      <c r="S26" s="322"/>
      <c r="T26" s="322"/>
    </row>
    <row r="27" spans="2:20" ht="17.25" customHeight="1" thickBot="1">
      <c r="B27" s="1919" t="s">
        <v>426</v>
      </c>
      <c r="C27" s="1919"/>
      <c r="D27" s="1919"/>
      <c r="E27" s="1919"/>
      <c r="F27" s="1919"/>
      <c r="G27" s="1919"/>
      <c r="H27" s="1919"/>
      <c r="I27" s="1919"/>
      <c r="J27" s="1919"/>
    </row>
    <row r="28" spans="2:20" ht="21" customHeight="1" thickTop="1">
      <c r="B28" s="1317" t="s">
        <v>427</v>
      </c>
      <c r="C28" s="1318"/>
      <c r="D28" s="1318"/>
      <c r="E28" s="1318"/>
      <c r="F28" s="1318"/>
      <c r="G28" s="1318"/>
      <c r="H28" s="1318"/>
      <c r="I28" s="1319"/>
      <c r="J28" s="1320" t="s">
        <v>787</v>
      </c>
    </row>
    <row r="29" spans="2:20" ht="21" customHeight="1">
      <c r="B29" s="1321"/>
      <c r="C29" s="1322" t="s">
        <v>222</v>
      </c>
      <c r="D29" s="1322"/>
      <c r="E29" s="1322"/>
      <c r="F29" s="1322"/>
      <c r="G29" s="1322"/>
      <c r="H29" s="1322"/>
      <c r="I29" s="1323"/>
      <c r="J29" s="655"/>
    </row>
    <row r="30" spans="2:20" ht="21" customHeight="1">
      <c r="B30" s="1321"/>
      <c r="C30" s="1322" t="s">
        <v>428</v>
      </c>
      <c r="D30" s="1322"/>
      <c r="E30" s="1322"/>
      <c r="F30" s="1322"/>
      <c r="G30" s="1322"/>
      <c r="H30" s="1322"/>
      <c r="I30" s="1323"/>
      <c r="J30" s="655"/>
    </row>
    <row r="31" spans="2:20" ht="21" customHeight="1" thickBot="1">
      <c r="B31" s="1321"/>
      <c r="C31" s="1322" t="s">
        <v>429</v>
      </c>
      <c r="D31" s="1322"/>
      <c r="E31" s="1322"/>
      <c r="F31" s="1322"/>
      <c r="G31" s="1322"/>
      <c r="H31" s="1322"/>
      <c r="I31" s="1323"/>
      <c r="J31" s="657"/>
    </row>
    <row r="32" spans="2:20" ht="21" customHeight="1" thickTop="1">
      <c r="B32" s="1321" t="s">
        <v>430</v>
      </c>
      <c r="C32" s="1322"/>
      <c r="D32" s="1322"/>
      <c r="E32" s="1322"/>
      <c r="F32" s="1322"/>
      <c r="G32" s="1322"/>
      <c r="H32" s="1322"/>
      <c r="I32" s="1324"/>
      <c r="J32" s="1325">
        <f>SUM(J29:J31)</f>
        <v>0</v>
      </c>
    </row>
    <row r="33" spans="2:13" ht="21" customHeight="1" thickBot="1">
      <c r="B33" s="1321" t="s">
        <v>431</v>
      </c>
      <c r="C33" s="1322"/>
      <c r="D33" s="1322"/>
      <c r="E33" s="1322"/>
      <c r="F33" s="1322"/>
      <c r="G33" s="1322"/>
      <c r="H33" s="1322"/>
      <c r="I33" s="1324"/>
      <c r="J33" s="656"/>
    </row>
    <row r="34" spans="2:13" ht="21" customHeight="1" thickTop="1">
      <c r="B34" s="1321" t="s">
        <v>916</v>
      </c>
      <c r="C34" s="1322"/>
      <c r="D34" s="1322"/>
      <c r="E34" s="1322"/>
      <c r="F34" s="1322"/>
      <c r="G34" s="1322"/>
      <c r="H34" s="1322"/>
      <c r="I34" s="1324"/>
      <c r="J34" s="1325">
        <f>+J32+J33</f>
        <v>0</v>
      </c>
    </row>
    <row r="35" spans="2:13" ht="21" customHeight="1">
      <c r="B35" s="1321" t="s">
        <v>432</v>
      </c>
      <c r="C35" s="1322"/>
      <c r="D35" s="1322"/>
      <c r="E35" s="1322"/>
      <c r="F35" s="1322"/>
      <c r="G35" s="1322"/>
      <c r="H35" s="1322"/>
      <c r="I35" s="1324"/>
      <c r="J35" s="1326"/>
    </row>
    <row r="36" spans="2:13" ht="21" customHeight="1">
      <c r="B36" s="1328"/>
      <c r="C36" s="1328" t="s">
        <v>753</v>
      </c>
      <c r="D36" s="1328"/>
      <c r="E36" s="1328"/>
      <c r="F36" s="1328"/>
      <c r="G36" s="1328"/>
      <c r="H36" s="1328"/>
      <c r="I36" s="658"/>
      <c r="J36" s="1327"/>
    </row>
    <row r="37" spans="2:13" ht="21" customHeight="1">
      <c r="B37" s="1328"/>
      <c r="C37" s="1328" t="s">
        <v>920</v>
      </c>
      <c r="D37" s="1328"/>
      <c r="E37" s="1328"/>
      <c r="F37" s="1328"/>
      <c r="G37" s="1328"/>
      <c r="H37" s="1328"/>
      <c r="I37" s="658"/>
      <c r="J37" s="1327"/>
    </row>
    <row r="38" spans="2:13" ht="21" customHeight="1" thickBot="1">
      <c r="B38" s="1328" t="s">
        <v>433</v>
      </c>
      <c r="C38" s="1328"/>
      <c r="D38" s="1328"/>
      <c r="E38" s="1328"/>
      <c r="F38" s="1328"/>
      <c r="G38" s="1328"/>
      <c r="H38" s="1328"/>
      <c r="I38" s="659"/>
      <c r="J38" s="655"/>
      <c r="M38" s="399"/>
    </row>
    <row r="39" spans="2:13" ht="21" customHeight="1" thickTop="1" thickBot="1">
      <c r="B39" s="1328" t="s">
        <v>921</v>
      </c>
      <c r="C39" s="1328"/>
      <c r="D39" s="1328"/>
      <c r="E39" s="1328"/>
      <c r="F39" s="1328"/>
      <c r="G39" s="1328"/>
      <c r="H39" s="1328"/>
      <c r="I39" s="1329"/>
      <c r="J39" s="1331">
        <f>SUM(I36:I38)</f>
        <v>0</v>
      </c>
    </row>
    <row r="40" spans="2:13" ht="21" customHeight="1" thickTop="1" thickBot="1">
      <c r="B40" s="1328" t="s">
        <v>434</v>
      </c>
      <c r="C40" s="1328"/>
      <c r="D40" s="1328"/>
      <c r="E40" s="1328"/>
      <c r="F40" s="1328"/>
      <c r="G40" s="1328"/>
      <c r="H40" s="1328"/>
      <c r="I40" s="1330"/>
      <c r="J40" s="1332">
        <f>+J34-J39</f>
        <v>0</v>
      </c>
      <c r="K40" s="399"/>
    </row>
    <row r="41" spans="2:13" ht="13.8" thickTop="1">
      <c r="B41" s="1114"/>
      <c r="C41" s="1114"/>
      <c r="D41" s="1114"/>
      <c r="E41" s="1114"/>
      <c r="F41" s="1114"/>
      <c r="G41" s="1114"/>
      <c r="H41" s="1114"/>
      <c r="I41" s="1114"/>
      <c r="J41" s="1114"/>
    </row>
    <row r="42" spans="2:13">
      <c r="B42" s="1209" t="s">
        <v>3422</v>
      </c>
      <c r="C42" s="1209"/>
      <c r="D42" s="1209"/>
      <c r="E42" s="1209"/>
      <c r="F42" s="1209"/>
      <c r="G42" s="1114"/>
      <c r="H42" s="1114"/>
      <c r="I42" s="1114"/>
      <c r="J42" s="1114"/>
    </row>
    <row r="43" spans="2:13">
      <c r="B43" s="1209"/>
      <c r="C43" s="1209" t="s">
        <v>3421</v>
      </c>
      <c r="D43" s="1209"/>
      <c r="E43" s="1209"/>
      <c r="F43" s="1209"/>
      <c r="G43" s="1114"/>
      <c r="H43" s="1114"/>
      <c r="I43" s="1114"/>
      <c r="J43" s="1114"/>
    </row>
    <row r="44" spans="2:13">
      <c r="B44" s="1209"/>
      <c r="C44" s="1209"/>
      <c r="D44" s="1209" t="s">
        <v>3420</v>
      </c>
      <c r="E44" s="1209"/>
      <c r="F44" s="1209"/>
      <c r="G44" s="1114"/>
      <c r="H44" s="1114"/>
      <c r="I44" s="1114"/>
      <c r="J44" s="1114"/>
      <c r="M44" s="399"/>
    </row>
    <row r="45" spans="2:13">
      <c r="B45" s="1209"/>
      <c r="C45" s="1209" t="s">
        <v>43</v>
      </c>
      <c r="D45" s="1209"/>
      <c r="E45" s="1209"/>
      <c r="F45" s="1209"/>
      <c r="G45" s="1114"/>
      <c r="H45" s="1114"/>
      <c r="I45" s="1114"/>
      <c r="J45" s="1114"/>
    </row>
    <row r="46" spans="2:13">
      <c r="B46" s="1209"/>
      <c r="C46" s="1209" t="s">
        <v>3419</v>
      </c>
      <c r="D46" s="1209"/>
      <c r="E46" s="1209"/>
      <c r="F46" s="1209"/>
      <c r="G46" s="1114"/>
      <c r="H46" s="1114"/>
      <c r="I46" s="1114"/>
      <c r="J46" s="1114"/>
    </row>
    <row r="47" spans="2:13">
      <c r="B47" s="1209"/>
      <c r="C47" s="1209"/>
      <c r="D47" s="1209" t="s">
        <v>3418</v>
      </c>
      <c r="E47" s="1209"/>
      <c r="F47" s="1209"/>
      <c r="G47" s="1114"/>
      <c r="H47" s="1114"/>
      <c r="I47" s="1114"/>
      <c r="J47" s="1114"/>
    </row>
    <row r="48" spans="2:13">
      <c r="B48" s="427"/>
      <c r="C48" s="427"/>
      <c r="D48" s="427"/>
      <c r="E48" s="427"/>
      <c r="F48" s="427"/>
    </row>
    <row r="55" spans="2:10" ht="13.8">
      <c r="B55" s="1765" t="s">
        <v>3417</v>
      </c>
      <c r="C55" s="1765"/>
      <c r="D55" s="1765"/>
      <c r="E55" s="1765"/>
      <c r="F55" s="1765"/>
      <c r="G55" s="1765"/>
      <c r="H55" s="1765"/>
      <c r="I55" s="1765"/>
      <c r="J55" s="1765"/>
    </row>
  </sheetData>
  <sheetProtection algorithmName="SHA-512" hashValue="LWkfp6+ZFgm8Yqm5xMgNp8dBMfbn0hHc3q+inWRUtJqa4bBm3u4zXqFATNBzFycMndnob8pVU40Mo0qtNy1TTw==" saltValue="YhoUAH+0ID8iqIs2guW1xQ==" spinCount="100000" sheet="1" objects="1" scenarios="1"/>
  <customSheetViews>
    <customSheetView guid="{AC653BD0-46E3-42CB-9C76-32121A57B65A}">
      <selection activeCell="B13" sqref="B13"/>
      <pageMargins left="0.25" right="0.25" top="0.5" bottom="0.5" header="0.25" footer="0.25"/>
      <pageSetup paperSize="5" orientation="portrait" r:id="rId1"/>
      <headerFooter alignWithMargins="0"/>
    </customSheetView>
    <customSheetView guid="{B165479B-DC25-403C-9595-F1A88A4AA9A2}">
      <selection activeCell="B13" sqref="B13"/>
      <pageMargins left="0.25" right="0.25" top="0.5" bottom="0.5" header="0.25" footer="0.25"/>
      <pageSetup paperSize="5" orientation="portrait" r:id="rId2"/>
      <headerFooter alignWithMargins="0"/>
    </customSheetView>
    <customSheetView guid="{A64E4C9E-A3DA-4AAA-8607-F524450B9436}">
      <selection activeCell="B13" sqref="B13"/>
      <pageMargins left="0.25" right="0.25" top="0.5" bottom="0.5" header="0.25" footer="0.25"/>
      <pageSetup paperSize="5" orientation="portrait" r:id="rId3"/>
      <headerFooter alignWithMargins="0"/>
    </customSheetView>
    <customSheetView guid="{AB4FBD91-4533-473A-9702-569FF6402073}">
      <selection activeCell="B13" sqref="B13"/>
      <pageMargins left="0.25" right="0.25" top="0.5" bottom="0.5" header="0.25" footer="0.25"/>
      <pageSetup paperSize="5" orientation="portrait" r:id="rId4"/>
      <headerFooter alignWithMargins="0"/>
    </customSheetView>
  </customSheetViews>
  <mergeCells count="5">
    <mergeCell ref="B2:J2"/>
    <mergeCell ref="B4:J4"/>
    <mergeCell ref="B5:G6"/>
    <mergeCell ref="B27:J27"/>
    <mergeCell ref="B55:J55"/>
  </mergeCells>
  <pageMargins left="0.25" right="0.25" top="0.5" bottom="0.5" header="0.25" footer="0.25"/>
  <pageSetup paperSize="5" orientation="portrait" r:id="rId5"/>
  <headerFooter alignWithMargins="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Sheet253">
    <tabColor theme="7" tint="0.39997558519241921"/>
  </sheetPr>
  <dimension ref="B1:T57"/>
  <sheetViews>
    <sheetView zoomScaleNormal="100" zoomScaleSheetLayoutView="80" workbookViewId="0">
      <selection activeCell="J31" sqref="J31"/>
    </sheetView>
  </sheetViews>
  <sheetFormatPr defaultColWidth="8.88671875" defaultRowHeight="13.2"/>
  <cols>
    <col min="1" max="1" width="4.6640625" style="398" customWidth="1"/>
    <col min="2" max="2" width="6.109375" style="398" customWidth="1"/>
    <col min="3" max="3" width="3.33203125" style="398" customWidth="1"/>
    <col min="4" max="4" width="2.6640625" style="398" customWidth="1"/>
    <col min="5" max="5" width="8.88671875" style="398"/>
    <col min="6" max="6" width="5.88671875" style="398" customWidth="1"/>
    <col min="7" max="7" width="8.88671875" style="398"/>
    <col min="8" max="8" width="16" style="398" customWidth="1"/>
    <col min="9" max="9" width="8.88671875" style="398"/>
    <col min="10" max="11" width="16.6640625" style="398" customWidth="1"/>
    <col min="12" max="12" width="8.88671875" style="398"/>
    <col min="13" max="13" width="11.33203125" style="398" customWidth="1"/>
    <col min="14" max="16384" width="8.88671875" style="398"/>
  </cols>
  <sheetData>
    <row r="1" spans="2:20">
      <c r="B1" s="1114"/>
      <c r="C1" s="1114"/>
      <c r="D1" s="1114"/>
      <c r="E1" s="1114"/>
      <c r="F1" s="1114"/>
      <c r="G1" s="1114"/>
      <c r="H1" s="1114"/>
      <c r="I1" s="1114"/>
      <c r="J1" s="1114"/>
      <c r="K1" s="1114"/>
    </row>
    <row r="2" spans="2:20">
      <c r="B2" s="1114"/>
      <c r="C2" s="1114"/>
      <c r="D2" s="1114"/>
      <c r="E2" s="1114"/>
      <c r="F2" s="1114"/>
      <c r="G2" s="1114"/>
      <c r="H2" s="1114"/>
      <c r="I2" s="1114"/>
      <c r="J2" s="1114"/>
      <c r="K2" s="1114"/>
    </row>
    <row r="3" spans="2:20" ht="22.8">
      <c r="B3" s="1759" t="str">
        <f>"STATEMENT  OF  "&amp;TEXT('KEY INPUTS'!D34,"0")&amp;"  OPERATION"</f>
        <v>STATEMENT  OF  2019  OPERATION</v>
      </c>
      <c r="C3" s="1759"/>
      <c r="D3" s="1759"/>
      <c r="E3" s="1759"/>
      <c r="F3" s="1759"/>
      <c r="G3" s="1759"/>
      <c r="H3" s="1759"/>
      <c r="I3" s="1759"/>
      <c r="J3" s="1759"/>
      <c r="K3" s="1759"/>
    </row>
    <row r="4" spans="2:20">
      <c r="B4" s="1114"/>
      <c r="C4" s="1114"/>
      <c r="D4" s="1114"/>
      <c r="E4" s="1114"/>
      <c r="F4" s="1114"/>
      <c r="G4" s="1114"/>
      <c r="H4" s="1114"/>
      <c r="I4" s="1114"/>
      <c r="J4" s="1114"/>
      <c r="K4" s="1114"/>
    </row>
    <row r="5" spans="2:20" ht="20.399999999999999">
      <c r="B5" s="1788" t="str">
        <f>UPPER('KEY INPUTS'!D56)&amp;" UTILITY"</f>
        <v xml:space="preserve"> UTILITY</v>
      </c>
      <c r="C5" s="1788"/>
      <c r="D5" s="1788"/>
      <c r="E5" s="1788"/>
      <c r="F5" s="1788"/>
      <c r="G5" s="1788"/>
      <c r="H5" s="1788"/>
      <c r="I5" s="1788"/>
      <c r="J5" s="1788"/>
      <c r="K5" s="1788"/>
    </row>
    <row r="6" spans="2:20">
      <c r="B6" s="1114"/>
      <c r="C6" s="1114"/>
      <c r="D6" s="1114"/>
      <c r="E6" s="1114"/>
      <c r="F6" s="1114"/>
      <c r="G6" s="1114"/>
      <c r="H6" s="1114"/>
      <c r="I6" s="1114"/>
      <c r="J6" s="1114"/>
      <c r="K6" s="1114"/>
    </row>
    <row r="7" spans="2:20">
      <c r="B7" s="1114"/>
      <c r="C7" s="1114"/>
      <c r="D7" s="1114"/>
      <c r="E7" s="1114"/>
      <c r="F7" s="1114"/>
      <c r="G7" s="1114"/>
      <c r="H7" s="1114"/>
      <c r="I7" s="1114"/>
      <c r="J7" s="1114"/>
      <c r="K7" s="1114"/>
    </row>
    <row r="8" spans="2:20">
      <c r="B8" s="1114" t="s">
        <v>408</v>
      </c>
      <c r="C8" s="1189" t="str">
        <f>"Section 1 of this sheet is required to be filled out ONLY IF the "&amp;TEXT('KEY INPUTS'!D34,"0")&amp;" "&amp;PROPER('KEY INPUTS'!D56)&amp;" Utility Budget contained"</f>
        <v>Section 1 of this sheet is required to be filled out ONLY IF the 2019  Utility Budget contained</v>
      </c>
      <c r="D8" s="1114"/>
      <c r="E8" s="1114"/>
      <c r="F8" s="1114"/>
      <c r="G8" s="1114"/>
      <c r="H8" s="1114"/>
      <c r="I8" s="1114"/>
      <c r="J8" s="1114"/>
      <c r="K8" s="1114"/>
    </row>
    <row r="9" spans="2:20">
      <c r="B9" s="1114"/>
      <c r="C9" s="1114" t="s">
        <v>435</v>
      </c>
      <c r="D9" s="1114"/>
      <c r="E9" s="1114"/>
      <c r="F9" s="1114"/>
      <c r="G9" s="1114"/>
      <c r="H9" s="1114"/>
      <c r="I9" s="1114"/>
      <c r="J9" s="1114"/>
      <c r="K9" s="1114"/>
    </row>
    <row r="10" spans="2:20">
      <c r="B10" s="1114"/>
      <c r="C10" s="1114" t="s">
        <v>436</v>
      </c>
      <c r="D10" s="1114"/>
      <c r="E10" s="1114"/>
      <c r="F10" s="1114"/>
      <c r="G10" s="1114"/>
      <c r="H10" s="1114"/>
      <c r="I10" s="1114"/>
      <c r="J10" s="1114"/>
      <c r="K10" s="1114"/>
    </row>
    <row r="11" spans="2:20">
      <c r="B11" s="1114"/>
      <c r="C11" s="1167" t="s">
        <v>3437</v>
      </c>
      <c r="D11" s="1114"/>
      <c r="E11" s="1114"/>
      <c r="F11" s="1114"/>
      <c r="G11" s="1114"/>
      <c r="H11" s="1114"/>
      <c r="I11" s="1114"/>
      <c r="J11" s="1114"/>
      <c r="K11" s="1114"/>
    </row>
    <row r="12" spans="2:20">
      <c r="B12" s="1114"/>
      <c r="C12" s="1114"/>
      <c r="D12" s="1114"/>
      <c r="E12" s="1114"/>
      <c r="F12" s="1114"/>
      <c r="G12" s="1114"/>
      <c r="H12" s="1114"/>
      <c r="I12" s="1114"/>
      <c r="J12" s="1114"/>
      <c r="K12" s="1114"/>
    </row>
    <row r="13" spans="2:20" ht="17.399999999999999">
      <c r="B13" s="1168" t="s">
        <v>437</v>
      </c>
      <c r="C13" s="1114"/>
      <c r="D13" s="1114"/>
      <c r="E13" s="1114"/>
      <c r="F13" s="1114"/>
      <c r="G13" s="1114"/>
      <c r="H13" s="1114"/>
      <c r="I13" s="1114"/>
      <c r="J13" s="1114"/>
      <c r="K13" s="1114"/>
    </row>
    <row r="14" spans="2:20" ht="13.8" thickBot="1">
      <c r="B14" s="1169"/>
      <c r="C14" s="1169"/>
      <c r="D14" s="1169"/>
      <c r="E14" s="1169"/>
      <c r="F14" s="1169"/>
      <c r="G14" s="1169"/>
      <c r="H14" s="1169"/>
      <c r="I14" s="1169"/>
      <c r="J14" s="1169"/>
      <c r="K14" s="1169"/>
    </row>
    <row r="15" spans="2:20" ht="21" customHeight="1" thickTop="1">
      <c r="B15" s="1170" t="s">
        <v>438</v>
      </c>
      <c r="C15" s="1170"/>
      <c r="D15" s="1170"/>
      <c r="E15" s="1170"/>
      <c r="F15" s="1170"/>
      <c r="G15" s="1170"/>
      <c r="H15" s="1170"/>
      <c r="I15" s="1170"/>
      <c r="J15" s="1171" t="s">
        <v>787</v>
      </c>
      <c r="K15" s="841"/>
      <c r="N15" s="322"/>
      <c r="O15" s="322"/>
      <c r="P15" s="322"/>
      <c r="Q15" s="322"/>
      <c r="R15" s="322"/>
      <c r="S15" s="322"/>
      <c r="T15" s="322"/>
    </row>
    <row r="16" spans="2:20" ht="21" customHeight="1">
      <c r="B16" s="690"/>
      <c r="C16" s="690" t="s">
        <v>439</v>
      </c>
      <c r="D16" s="690"/>
      <c r="E16" s="690"/>
      <c r="F16" s="690"/>
      <c r="G16" s="690"/>
      <c r="H16" s="690"/>
      <c r="I16" s="690"/>
      <c r="J16" s="842">
        <f>+'44-Utility5'!I20</f>
        <v>0</v>
      </c>
      <c r="K16" s="841"/>
      <c r="N16" s="322"/>
      <c r="O16" s="322"/>
      <c r="P16" s="322"/>
      <c r="Q16" s="322"/>
      <c r="R16" s="322"/>
      <c r="S16" s="322"/>
      <c r="T16" s="322"/>
    </row>
    <row r="17" spans="2:20" ht="21" customHeight="1">
      <c r="B17" s="690"/>
      <c r="C17" s="690" t="s">
        <v>440</v>
      </c>
      <c r="D17" s="690"/>
      <c r="E17" s="690"/>
      <c r="F17" s="690"/>
      <c r="G17" s="690"/>
      <c r="H17" s="690"/>
      <c r="I17" s="690"/>
      <c r="J17" s="575"/>
      <c r="K17" s="841"/>
      <c r="N17" s="377"/>
      <c r="O17" s="322"/>
      <c r="P17" s="322"/>
      <c r="Q17" s="322"/>
      <c r="R17" s="322"/>
      <c r="S17" s="322"/>
      <c r="T17" s="322"/>
    </row>
    <row r="18" spans="2:20" ht="21" customHeight="1">
      <c r="B18" s="690"/>
      <c r="C18" s="914" t="str">
        <f>TEXT('KEY INPUTS'!D35,"0")&amp;" Appropriation Reserves Canceled in "&amp;TEXT('KEY INPUTS'!D34,0)</f>
        <v>2018 Appropriation Reserves Canceled in 2019</v>
      </c>
      <c r="D18" s="1172"/>
      <c r="E18" s="1172"/>
      <c r="F18" s="1172"/>
      <c r="G18" s="1172"/>
      <c r="H18" s="690"/>
      <c r="I18" s="690"/>
      <c r="J18" s="1029">
        <f>J48</f>
        <v>0</v>
      </c>
      <c r="K18" s="841"/>
      <c r="N18" s="322"/>
      <c r="O18" s="322"/>
      <c r="P18" s="322"/>
      <c r="Q18" s="322"/>
      <c r="R18" s="322"/>
      <c r="S18" s="322"/>
      <c r="T18" s="322"/>
    </row>
    <row r="19" spans="2:20" ht="21" customHeight="1">
      <c r="B19" s="690"/>
      <c r="C19" s="648"/>
      <c r="D19" s="648"/>
      <c r="E19" s="648"/>
      <c r="F19" s="648"/>
      <c r="G19" s="648"/>
      <c r="H19" s="648"/>
      <c r="I19" s="648"/>
      <c r="J19" s="374"/>
      <c r="K19" s="841"/>
      <c r="N19" s="322"/>
      <c r="O19" s="322"/>
      <c r="P19" s="322"/>
      <c r="Q19" s="322"/>
      <c r="R19" s="322"/>
      <c r="S19" s="322"/>
      <c r="T19" s="322"/>
    </row>
    <row r="20" spans="2:20" ht="21" customHeight="1">
      <c r="B20" s="690"/>
      <c r="C20" s="648"/>
      <c r="D20" s="648"/>
      <c r="E20" s="648"/>
      <c r="F20" s="648"/>
      <c r="G20" s="648"/>
      <c r="H20" s="648"/>
      <c r="I20" s="648"/>
      <c r="J20" s="374"/>
      <c r="K20" s="841"/>
      <c r="N20" s="322"/>
      <c r="O20" s="322"/>
      <c r="P20" s="322"/>
      <c r="Q20" s="322"/>
      <c r="R20" s="322"/>
      <c r="S20" s="322"/>
      <c r="T20" s="322"/>
    </row>
    <row r="21" spans="2:20" ht="21" customHeight="1">
      <c r="B21" s="690"/>
      <c r="C21" s="690" t="s">
        <v>441</v>
      </c>
      <c r="D21" s="690"/>
      <c r="E21" s="690"/>
      <c r="F21" s="690"/>
      <c r="G21" s="690"/>
      <c r="H21" s="690"/>
      <c r="I21" s="690"/>
      <c r="J21" s="575"/>
      <c r="K21" s="851">
        <f>SUM(J16:J20)</f>
        <v>0</v>
      </c>
      <c r="N21" s="322"/>
      <c r="O21" s="322"/>
      <c r="P21" s="322"/>
      <c r="Q21" s="322"/>
      <c r="R21" s="322"/>
      <c r="S21" s="322"/>
      <c r="T21" s="322"/>
    </row>
    <row r="22" spans="2:20" ht="21" customHeight="1">
      <c r="B22" s="690" t="s">
        <v>442</v>
      </c>
      <c r="C22" s="690"/>
      <c r="D22" s="690"/>
      <c r="E22" s="690"/>
      <c r="F22" s="690"/>
      <c r="G22" s="690"/>
      <c r="H22" s="690"/>
      <c r="I22" s="690"/>
      <c r="J22" s="1174" t="s">
        <v>787</v>
      </c>
      <c r="K22" s="841"/>
      <c r="N22" s="322"/>
      <c r="O22" s="322"/>
      <c r="P22" s="322"/>
      <c r="Q22" s="322"/>
      <c r="R22" s="322"/>
      <c r="S22" s="322"/>
      <c r="T22" s="322"/>
    </row>
    <row r="23" spans="2:20" ht="21" customHeight="1">
      <c r="B23" s="690"/>
      <c r="C23" s="690" t="s">
        <v>443</v>
      </c>
      <c r="D23" s="690"/>
      <c r="E23" s="690"/>
      <c r="F23" s="690"/>
      <c r="G23" s="690"/>
      <c r="H23" s="690"/>
      <c r="I23" s="690"/>
      <c r="J23" s="1174" t="s">
        <v>787</v>
      </c>
      <c r="K23" s="841"/>
      <c r="N23" s="322"/>
      <c r="O23" s="322"/>
      <c r="P23" s="322"/>
      <c r="Q23" s="322"/>
      <c r="R23" s="322"/>
      <c r="S23" s="322"/>
      <c r="T23" s="322"/>
    </row>
    <row r="24" spans="2:20" ht="21" customHeight="1">
      <c r="B24" s="690"/>
      <c r="C24" s="690"/>
      <c r="D24" s="690" t="s">
        <v>753</v>
      </c>
      <c r="E24" s="690"/>
      <c r="F24" s="690"/>
      <c r="G24" s="690"/>
      <c r="H24" s="690"/>
      <c r="I24" s="690"/>
      <c r="J24" s="842">
        <f>+'44-Utility5'!I36</f>
        <v>0</v>
      </c>
      <c r="K24" s="841"/>
      <c r="N24" s="322"/>
      <c r="O24" s="322"/>
      <c r="P24" s="322"/>
      <c r="Q24" s="322"/>
      <c r="R24" s="322"/>
      <c r="S24" s="322"/>
      <c r="T24" s="322"/>
    </row>
    <row r="25" spans="2:20" ht="21" customHeight="1">
      <c r="B25" s="690"/>
      <c r="C25" s="690"/>
      <c r="D25" s="690" t="s">
        <v>920</v>
      </c>
      <c r="E25" s="690"/>
      <c r="F25" s="690"/>
      <c r="G25" s="690"/>
      <c r="H25" s="690"/>
      <c r="I25" s="690"/>
      <c r="J25" s="842">
        <f>+'44-Utility5'!I37</f>
        <v>0</v>
      </c>
      <c r="K25" s="841"/>
      <c r="N25" s="322"/>
      <c r="O25" s="322"/>
      <c r="P25" s="322"/>
      <c r="Q25" s="322"/>
      <c r="R25" s="322"/>
      <c r="S25" s="322"/>
      <c r="T25" s="322"/>
    </row>
    <row r="26" spans="2:20" ht="21" customHeight="1">
      <c r="B26" s="690"/>
      <c r="C26" s="690" t="s">
        <v>444</v>
      </c>
      <c r="D26" s="690"/>
      <c r="E26" s="690"/>
      <c r="F26" s="690"/>
      <c r="G26" s="690"/>
      <c r="H26" s="690"/>
      <c r="I26" s="690"/>
      <c r="J26" s="575"/>
      <c r="K26" s="841"/>
      <c r="N26" s="322"/>
      <c r="O26" s="322"/>
      <c r="P26" s="322"/>
      <c r="Q26" s="322"/>
      <c r="R26" s="322"/>
      <c r="S26" s="322"/>
      <c r="T26" s="322"/>
    </row>
    <row r="27" spans="2:20" ht="21" customHeight="1">
      <c r="B27" s="690"/>
      <c r="C27" s="690" t="s">
        <v>445</v>
      </c>
      <c r="D27" s="690"/>
      <c r="E27" s="690"/>
      <c r="F27" s="690"/>
      <c r="G27" s="690"/>
      <c r="H27" s="690"/>
      <c r="I27" s="690"/>
      <c r="J27" s="575"/>
      <c r="K27" s="841"/>
      <c r="N27" s="322"/>
      <c r="O27" s="322"/>
      <c r="P27" s="322"/>
      <c r="Q27" s="322"/>
      <c r="R27" s="322"/>
      <c r="S27" s="322"/>
      <c r="T27" s="322"/>
    </row>
    <row r="28" spans="2:20" ht="21" customHeight="1" thickBot="1">
      <c r="B28" s="690"/>
      <c r="C28" s="648"/>
      <c r="D28" s="648"/>
      <c r="E28" s="648"/>
      <c r="F28" s="648"/>
      <c r="G28" s="648"/>
      <c r="H28" s="648"/>
      <c r="I28" s="648"/>
      <c r="J28" s="1022"/>
      <c r="K28" s="841"/>
      <c r="N28" s="322"/>
      <c r="O28" s="322"/>
      <c r="P28" s="322"/>
      <c r="Q28" s="322"/>
      <c r="R28" s="322"/>
      <c r="S28" s="322"/>
      <c r="T28" s="322"/>
    </row>
    <row r="29" spans="2:20" ht="21" customHeight="1">
      <c r="B29" s="690"/>
      <c r="C29" s="690"/>
      <c r="D29" s="690"/>
      <c r="E29" s="690"/>
      <c r="F29" s="690" t="s">
        <v>921</v>
      </c>
      <c r="G29" s="690"/>
      <c r="H29" s="690"/>
      <c r="I29" s="690"/>
      <c r="J29" s="848">
        <f>SUM(J24:J28)</f>
        <v>0</v>
      </c>
      <c r="K29" s="841"/>
      <c r="N29" s="322"/>
      <c r="O29" s="322"/>
      <c r="P29" s="322"/>
      <c r="Q29" s="322"/>
      <c r="R29" s="322"/>
      <c r="S29" s="322"/>
      <c r="T29" s="322"/>
    </row>
    <row r="30" spans="2:20" ht="11.25" customHeight="1">
      <c r="B30" s="1114"/>
      <c r="C30" s="1114"/>
      <c r="D30" s="1114"/>
      <c r="E30" s="1114"/>
      <c r="F30" s="1114" t="s">
        <v>949</v>
      </c>
      <c r="G30" s="1114" t="s">
        <v>950</v>
      </c>
      <c r="H30" s="1114"/>
      <c r="I30" s="1114"/>
      <c r="J30" s="1177"/>
      <c r="K30" s="841"/>
      <c r="N30" s="322"/>
      <c r="O30" s="322"/>
      <c r="P30" s="322"/>
      <c r="Q30" s="322"/>
      <c r="R30" s="322"/>
      <c r="S30" s="322"/>
      <c r="T30" s="322"/>
    </row>
    <row r="31" spans="2:20" ht="13.5" customHeight="1">
      <c r="B31" s="1128"/>
      <c r="C31" s="1128"/>
      <c r="D31" s="1128"/>
      <c r="E31" s="1128"/>
      <c r="F31" s="1128"/>
      <c r="G31" s="1128" t="s">
        <v>951</v>
      </c>
      <c r="H31" s="1128"/>
      <c r="I31" s="1178"/>
      <c r="J31" s="1489"/>
      <c r="K31" s="1175"/>
      <c r="N31" s="322"/>
      <c r="O31" s="322"/>
      <c r="P31" s="322"/>
      <c r="Q31" s="322"/>
      <c r="R31" s="322"/>
      <c r="S31" s="322"/>
      <c r="T31" s="322"/>
    </row>
    <row r="32" spans="2:20" ht="21" customHeight="1" thickBot="1">
      <c r="B32" s="1180"/>
      <c r="C32" s="1180"/>
      <c r="D32" s="1180" t="s">
        <v>952</v>
      </c>
      <c r="E32" s="1180"/>
      <c r="F32" s="1180"/>
      <c r="G32" s="1180"/>
      <c r="H32" s="1180"/>
      <c r="I32" s="1180"/>
      <c r="J32" s="1181"/>
      <c r="K32" s="1176">
        <f>+J29-J31</f>
        <v>0</v>
      </c>
    </row>
    <row r="33" spans="2:15" ht="21" customHeight="1" thickTop="1" thickBot="1">
      <c r="B33" s="1182" t="s">
        <v>953</v>
      </c>
      <c r="C33" s="1182"/>
      <c r="D33" s="1182"/>
      <c r="E33" s="1182"/>
      <c r="F33" s="1182"/>
      <c r="G33" s="1182"/>
      <c r="H33" s="1182"/>
      <c r="I33" s="1182"/>
      <c r="J33" s="1183"/>
      <c r="K33" s="1184">
        <f>IF(M33&gt;0,M33,0)</f>
        <v>0</v>
      </c>
      <c r="M33" s="399">
        <f>+K21-K32</f>
        <v>0</v>
      </c>
      <c r="N33" s="710" t="s">
        <v>3666</v>
      </c>
    </row>
    <row r="34" spans="2:15" ht="21" customHeight="1">
      <c r="B34" s="690" t="s">
        <v>954</v>
      </c>
      <c r="C34" s="690"/>
      <c r="D34" s="690"/>
      <c r="E34" s="690"/>
      <c r="F34" s="690"/>
      <c r="G34" s="690"/>
      <c r="H34" s="690"/>
      <c r="I34" s="690"/>
      <c r="J34" s="575"/>
      <c r="K34" s="841"/>
    </row>
    <row r="35" spans="2:15" ht="11.25" customHeight="1">
      <c r="B35" s="1800" t="s">
        <v>955</v>
      </c>
      <c r="C35" s="1800"/>
      <c r="D35" s="1800"/>
      <c r="E35" s="1189" t="str">
        <f>"Balance of Results of "&amp;TEXT('KEY INPUTS'!D34,"0")&amp;" Operation"</f>
        <v>Balance of Results of 2019 Operation</v>
      </c>
      <c r="F35" s="1114"/>
      <c r="G35" s="1114"/>
      <c r="H35" s="1114"/>
      <c r="I35" s="1114"/>
      <c r="J35" s="1177"/>
      <c r="K35" s="841"/>
    </row>
    <row r="36" spans="2:15" ht="12.75" customHeight="1" thickBot="1">
      <c r="B36" s="1801"/>
      <c r="C36" s="1801"/>
      <c r="D36" s="1801"/>
      <c r="E36" s="1128" t="s">
        <v>3782</v>
      </c>
      <c r="F36" s="1128"/>
      <c r="G36" s="1128"/>
      <c r="H36" s="1128"/>
      <c r="I36" s="1128"/>
      <c r="J36" s="1179">
        <f>+K33-J34</f>
        <v>0</v>
      </c>
      <c r="K36" s="841"/>
    </row>
    <row r="37" spans="2:15" ht="21" customHeight="1" thickBot="1">
      <c r="B37" s="1190"/>
      <c r="C37" s="1190"/>
      <c r="D37" s="1190"/>
      <c r="E37" s="1190"/>
      <c r="F37" s="1190"/>
      <c r="G37" s="1190"/>
      <c r="H37" s="1190"/>
      <c r="I37" s="1190"/>
      <c r="J37" s="1193"/>
      <c r="K37" s="1185"/>
    </row>
    <row r="38" spans="2:15" ht="21" customHeight="1" thickBot="1">
      <c r="B38" s="1191" t="s">
        <v>956</v>
      </c>
      <c r="C38" s="1191"/>
      <c r="D38" s="1191"/>
      <c r="E38" s="1191"/>
      <c r="F38" s="1191"/>
      <c r="G38" s="1191"/>
      <c r="H38" s="1191"/>
      <c r="I38" s="1191"/>
      <c r="J38" s="1194"/>
      <c r="K38" s="1186">
        <f>IF(+M33&gt;0,0,+M33*-1)</f>
        <v>0</v>
      </c>
    </row>
    <row r="39" spans="2:15" ht="21" customHeight="1">
      <c r="B39" s="690" t="s">
        <v>957</v>
      </c>
      <c r="C39" s="690"/>
      <c r="D39" s="690"/>
      <c r="E39" s="690"/>
      <c r="F39" s="690"/>
      <c r="G39" s="690"/>
      <c r="H39" s="690"/>
      <c r="I39" s="690"/>
      <c r="J39" s="1194">
        <f>+'44-Utility5'!I21</f>
        <v>0</v>
      </c>
      <c r="K39" s="841"/>
    </row>
    <row r="40" spans="2:15">
      <c r="B40" s="1802" t="s">
        <v>955</v>
      </c>
      <c r="C40" s="1802"/>
      <c r="D40" s="1802"/>
      <c r="E40" s="1189" t="str">
        <f>"Balance of Results of "&amp;TEXT('KEY INPUTS'!D34,"0")&amp;" Operation"</f>
        <v>Balance of Results of 2019 Operation</v>
      </c>
      <c r="F40" s="1192"/>
      <c r="G40" s="1192"/>
      <c r="H40" s="1192"/>
      <c r="I40" s="1192"/>
      <c r="J40" s="1177"/>
      <c r="K40" s="1187"/>
    </row>
    <row r="41" spans="2:15" ht="13.8" thickBot="1">
      <c r="B41" s="1803"/>
      <c r="C41" s="1803"/>
      <c r="D41" s="1803"/>
      <c r="E41" s="1169" t="s">
        <v>3436</v>
      </c>
      <c r="F41" s="1169"/>
      <c r="G41" s="1169"/>
      <c r="H41" s="1169"/>
      <c r="I41" s="1169"/>
      <c r="J41" s="1195">
        <f>+K38-J39</f>
        <v>0</v>
      </c>
      <c r="K41" s="1188"/>
      <c r="L41" s="739"/>
      <c r="O41" s="399"/>
    </row>
    <row r="42" spans="2:15" ht="13.8" thickTop="1">
      <c r="J42" s="464"/>
      <c r="K42" s="464"/>
    </row>
    <row r="43" spans="2:15" ht="17.399999999999999">
      <c r="B43" s="1168" t="s">
        <v>958</v>
      </c>
      <c r="C43" s="1114"/>
      <c r="D43" s="1114"/>
      <c r="E43" s="1114"/>
      <c r="F43" s="1114"/>
      <c r="G43" s="1114"/>
      <c r="H43" s="1114"/>
      <c r="I43" s="1114"/>
      <c r="J43" s="841"/>
      <c r="K43" s="841"/>
    </row>
    <row r="44" spans="2:15">
      <c r="B44" s="1189" t="str">
        <f>"The following Item of '"&amp;TEXT('KEY INPUTS'!D35,"0")&amp;" Appropriation Reserves Canceled in "&amp;TEXT('KEY INPUTS'!D34,"0")&amp;"' ""is Due to the Current Fund TO THE"</f>
        <v>The following Item of '2018 Appropriation Reserves Canceled in 2019' "is Due to the Current Fund TO THE</v>
      </c>
      <c r="C44" s="1114"/>
      <c r="D44" s="1114"/>
      <c r="E44" s="1114"/>
      <c r="F44" s="1114"/>
      <c r="G44" s="1114"/>
      <c r="H44" s="1114"/>
      <c r="I44" s="1114"/>
      <c r="J44" s="841"/>
      <c r="K44" s="841"/>
    </row>
    <row r="45" spans="2:15">
      <c r="B45" s="1189" t="str">
        <f>"EXTENT OF the amount received and Due from the General Budget of "&amp;TEXT('KEY INPUTS'!D34,"0")&amp;" for an Anticipated Deficit in the"</f>
        <v>EXTENT OF the amount received and Due from the General Budget of 2019 for an Anticipated Deficit in the</v>
      </c>
      <c r="C45" s="1114"/>
      <c r="D45" s="1114"/>
      <c r="E45" s="1114"/>
      <c r="F45" s="1114"/>
      <c r="G45" s="1114"/>
      <c r="H45" s="1114"/>
      <c r="I45" s="1114"/>
      <c r="J45" s="841"/>
      <c r="K45" s="841"/>
    </row>
    <row r="46" spans="2:15">
      <c r="B46" s="1189" t="str">
        <f>PROPER('KEY INPUTS'!D56)&amp;" Utility for "&amp;TEXT('KEY INPUTS'!D34,"0")&amp;""</f>
        <v xml:space="preserve"> Utility for 2019</v>
      </c>
      <c r="C46" s="1114"/>
      <c r="D46" s="1114"/>
      <c r="E46" s="1114"/>
      <c r="F46" s="1114"/>
      <c r="G46" s="1114"/>
      <c r="H46" s="1114"/>
      <c r="I46" s="1114"/>
      <c r="J46" s="841"/>
      <c r="K46" s="841"/>
      <c r="O46" s="322"/>
    </row>
    <row r="47" spans="2:15">
      <c r="B47" s="1114"/>
      <c r="C47" s="1114"/>
      <c r="D47" s="1114"/>
      <c r="E47" s="1114"/>
      <c r="F47" s="1114"/>
      <c r="G47" s="1114"/>
      <c r="H47" s="1114"/>
      <c r="I47" s="1114"/>
      <c r="J47" s="841"/>
      <c r="K47" s="841"/>
      <c r="O47" s="322"/>
    </row>
    <row r="48" spans="2:15" ht="21" customHeight="1">
      <c r="B48" s="914" t="str">
        <f>TEXT('KEY INPUTS'!D35,"0")&amp;" Appropriation Reserves Canceled in "&amp;TEXT('KEY INPUTS'!D34,0)</f>
        <v>2018 Appropriation Reserves Canceled in 2019</v>
      </c>
      <c r="C48" s="690"/>
      <c r="D48" s="690"/>
      <c r="E48" s="690"/>
      <c r="F48" s="690"/>
      <c r="G48" s="690"/>
      <c r="H48" s="690"/>
      <c r="I48" s="690"/>
      <c r="J48" s="374"/>
      <c r="K48" s="841"/>
      <c r="O48" s="322"/>
    </row>
    <row r="49" spans="2:15" ht="24" customHeight="1">
      <c r="B49" s="690"/>
      <c r="C49" s="1196" t="s">
        <v>949</v>
      </c>
      <c r="D49" s="690"/>
      <c r="E49" s="1798" t="str">
        <f>"Anticipated Deficit in "&amp;TEXT('KEY INPUTS'!D34,"0")&amp;" Budget - Amount Received and Due from Current Fund - If none, enter 'None '"""</f>
        <v>Anticipated Deficit in 2019 Budget - Amount Received and Due from Current Fund - If none, enter 'None '"</v>
      </c>
      <c r="F49" s="1798"/>
      <c r="G49" s="1798"/>
      <c r="H49" s="1798"/>
      <c r="I49" s="1799"/>
      <c r="J49" s="575"/>
      <c r="K49" s="841"/>
      <c r="O49" s="322"/>
    </row>
    <row r="50" spans="2:15" ht="21" customHeight="1">
      <c r="B50" s="690" t="s">
        <v>959</v>
      </c>
      <c r="C50" s="690"/>
      <c r="D50" s="690"/>
      <c r="E50" s="690"/>
      <c r="F50" s="690"/>
      <c r="G50" s="690"/>
      <c r="H50" s="690"/>
      <c r="I50" s="690"/>
      <c r="J50" s="663"/>
      <c r="K50" s="851">
        <f>+J48-J49</f>
        <v>0</v>
      </c>
    </row>
    <row r="52" spans="2:15">
      <c r="B52" s="463" t="s">
        <v>3435</v>
      </c>
    </row>
    <row r="53" spans="2:15">
      <c r="B53" s="463"/>
    </row>
    <row r="54" spans="2:15">
      <c r="B54" s="463"/>
    </row>
    <row r="55" spans="2:15">
      <c r="B55" s="463"/>
    </row>
    <row r="56" spans="2:15">
      <c r="B56" s="463"/>
    </row>
    <row r="57" spans="2:15" ht="13.8">
      <c r="B57" s="1765" t="s">
        <v>3434</v>
      </c>
      <c r="C57" s="1765"/>
      <c r="D57" s="1765"/>
      <c r="E57" s="1765"/>
      <c r="F57" s="1765"/>
      <c r="G57" s="1765"/>
      <c r="H57" s="1765"/>
      <c r="I57" s="1765"/>
      <c r="J57" s="1765"/>
      <c r="K57" s="1765"/>
    </row>
  </sheetData>
  <sheetProtection password="CAF9" sheet="1" objects="1" scenarios="1"/>
  <customSheetViews>
    <customSheetView guid="{AC653BD0-46E3-42CB-9C76-32121A57B65A}">
      <selection activeCell="J31" sqref="J31"/>
      <pageMargins left="0.25" right="0.25" top="0.5" bottom="0.5" header="0.25" footer="0.25"/>
      <pageSetup paperSize="5" orientation="portrait" r:id="rId1"/>
      <headerFooter alignWithMargins="0"/>
    </customSheetView>
    <customSheetView guid="{B165479B-DC25-403C-9595-F1A88A4AA9A2}">
      <selection activeCell="J31" sqref="J31"/>
      <pageMargins left="0.25" right="0.25" top="0.5" bottom="0.5" header="0.25" footer="0.25"/>
      <pageSetup paperSize="5" orientation="portrait" r:id="rId2"/>
      <headerFooter alignWithMargins="0"/>
    </customSheetView>
    <customSheetView guid="{A64E4C9E-A3DA-4AAA-8607-F524450B9436}">
      <selection activeCell="J31" sqref="J31"/>
      <pageMargins left="0.25" right="0.25" top="0.5" bottom="0.5" header="0.25" footer="0.25"/>
      <pageSetup paperSize="5" orientation="portrait" r:id="rId3"/>
      <headerFooter alignWithMargins="0"/>
    </customSheetView>
    <customSheetView guid="{AB4FBD91-4533-473A-9702-569FF6402073}">
      <selection activeCell="J31" sqref="J31"/>
      <pageMargins left="0.25" right="0.25" top="0.5" bottom="0.5" header="0.25" footer="0.25"/>
      <pageSetup paperSize="5" orientation="portrait" r:id="rId4"/>
      <headerFooter alignWithMargins="0"/>
    </customSheetView>
  </customSheetViews>
  <mergeCells count="6">
    <mergeCell ref="B57:K57"/>
    <mergeCell ref="B3:K3"/>
    <mergeCell ref="B5:K5"/>
    <mergeCell ref="B35:D36"/>
    <mergeCell ref="B40:D41"/>
    <mergeCell ref="E49:I49"/>
  </mergeCells>
  <pageMargins left="0.25" right="0.25" top="0.5" bottom="0.5" header="0.25" footer="0.25"/>
  <pageSetup paperSize="5" orientation="portrait" r:id="rId5"/>
  <headerFooter alignWithMargins="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Sheet254">
    <tabColor theme="7" tint="0.39997558519241921"/>
  </sheetPr>
  <dimension ref="B1:Z52"/>
  <sheetViews>
    <sheetView zoomScaleNormal="100" zoomScaleSheetLayoutView="80" workbookViewId="0"/>
  </sheetViews>
  <sheetFormatPr defaultColWidth="8.88671875" defaultRowHeight="13.2"/>
  <cols>
    <col min="1" max="5" width="4.6640625" style="398" customWidth="1"/>
    <col min="6" max="8" width="8.88671875" style="398"/>
    <col min="9" max="9" width="6.33203125" style="398" customWidth="1"/>
    <col min="10" max="10" width="8.88671875" style="398"/>
    <col min="11" max="12" width="16.6640625" style="398" customWidth="1"/>
    <col min="13" max="13" width="13.5546875" style="398" bestFit="1" customWidth="1"/>
    <col min="14" max="14" width="11.88671875" style="398" bestFit="1" customWidth="1"/>
    <col min="15" max="16384" width="8.88671875" style="398"/>
  </cols>
  <sheetData>
    <row r="1" spans="2:26">
      <c r="B1" s="1114"/>
      <c r="C1" s="1114"/>
      <c r="D1" s="1114"/>
      <c r="E1" s="1114"/>
      <c r="F1" s="1114"/>
      <c r="G1" s="1114"/>
      <c r="H1" s="1114"/>
      <c r="I1" s="1114"/>
      <c r="J1" s="1114"/>
      <c r="K1" s="1114"/>
      <c r="L1" s="1114"/>
    </row>
    <row r="2" spans="2:26" ht="20.399999999999999">
      <c r="B2" s="1788" t="str">
        <f>"RESULTS  OF  "&amp;TEXT('KEY INPUTS'!D34,"0")&amp;"  OPERATIONS  - "&amp;UPPER('KEY INPUTS'!D56)&amp;" UTILITY"</f>
        <v>RESULTS  OF  2019  OPERATIONS  -  UTILITY</v>
      </c>
      <c r="C2" s="1788"/>
      <c r="D2" s="1788"/>
      <c r="E2" s="1788"/>
      <c r="F2" s="1788"/>
      <c r="G2" s="1788"/>
      <c r="H2" s="1788"/>
      <c r="I2" s="1788"/>
      <c r="J2" s="1788"/>
      <c r="K2" s="1788"/>
      <c r="L2" s="1788"/>
    </row>
    <row r="3" spans="2:26" ht="13.8" thickBot="1">
      <c r="B3" s="1114"/>
      <c r="C3" s="1114"/>
      <c r="D3" s="1114"/>
      <c r="E3" s="1114"/>
      <c r="F3" s="1114"/>
      <c r="G3" s="1114"/>
      <c r="H3" s="1114"/>
      <c r="I3" s="1114"/>
      <c r="J3" s="1114"/>
      <c r="K3" s="1114"/>
      <c r="L3" s="1114"/>
    </row>
    <row r="4" spans="2:26" ht="21" customHeight="1" thickTop="1" thickBot="1">
      <c r="B4" s="1333"/>
      <c r="C4" s="1333"/>
      <c r="D4" s="1333"/>
      <c r="E4" s="1333"/>
      <c r="F4" s="1333"/>
      <c r="G4" s="1333"/>
      <c r="H4" s="1333"/>
      <c r="I4" s="1333"/>
      <c r="J4" s="1333"/>
      <c r="K4" s="1115" t="s">
        <v>125</v>
      </c>
      <c r="L4" s="1116" t="s">
        <v>126</v>
      </c>
    </row>
    <row r="5" spans="2:26" ht="21" customHeight="1" thickTop="1">
      <c r="B5" s="1210" t="s">
        <v>270</v>
      </c>
      <c r="C5" s="1170"/>
      <c r="D5" s="1170"/>
      <c r="E5" s="1170"/>
      <c r="F5" s="1170"/>
      <c r="G5" s="1170"/>
      <c r="H5" s="1170"/>
      <c r="I5" s="1170"/>
      <c r="J5" s="1170"/>
      <c r="K5" s="1202" t="s">
        <v>787</v>
      </c>
      <c r="L5" s="1203">
        <f>IF(+'44-Utility5'!J20&gt;0,+'44-Utility5'!J22,0)</f>
        <v>0</v>
      </c>
      <c r="N5" s="322"/>
      <c r="O5" s="322"/>
      <c r="P5" s="322"/>
      <c r="Q5" s="322"/>
      <c r="R5" s="322"/>
      <c r="S5" s="322"/>
      <c r="T5" s="322"/>
    </row>
    <row r="6" spans="2:26" ht="21" customHeight="1">
      <c r="B6" s="696" t="s">
        <v>271</v>
      </c>
      <c r="C6" s="690"/>
      <c r="D6" s="690"/>
      <c r="E6" s="690"/>
      <c r="F6" s="690"/>
      <c r="G6" s="690"/>
      <c r="H6" s="690"/>
      <c r="I6" s="690"/>
      <c r="J6" s="690"/>
      <c r="K6" s="1204" t="s">
        <v>787</v>
      </c>
      <c r="L6" s="1124">
        <f>+'44-Utility5'!J40</f>
        <v>0</v>
      </c>
      <c r="M6" s="739"/>
      <c r="N6" s="322"/>
      <c r="O6" s="322"/>
      <c r="P6" s="322"/>
      <c r="Q6" s="322"/>
      <c r="R6" s="322"/>
      <c r="S6" s="322"/>
      <c r="T6" s="322"/>
    </row>
    <row r="7" spans="2:26" ht="21" customHeight="1">
      <c r="B7" s="696" t="s">
        <v>272</v>
      </c>
      <c r="C7" s="690"/>
      <c r="D7" s="690"/>
      <c r="E7" s="690"/>
      <c r="F7" s="690"/>
      <c r="G7" s="690"/>
      <c r="H7" s="690"/>
      <c r="I7" s="690"/>
      <c r="J7" s="690"/>
      <c r="K7" s="1204" t="s">
        <v>787</v>
      </c>
      <c r="L7" s="1124">
        <f>'45-Utility5'!J17</f>
        <v>0</v>
      </c>
      <c r="N7" s="377"/>
      <c r="O7" s="322"/>
      <c r="P7" s="322"/>
      <c r="Q7" s="322"/>
      <c r="R7" s="322"/>
      <c r="S7" s="322"/>
      <c r="T7" s="322"/>
    </row>
    <row r="8" spans="2:26" ht="21" customHeight="1">
      <c r="B8" s="1114" t="str">
        <f>"Unexpended Balances of "&amp;TEXT('KEY INPUTS'!D35,"0")&amp;" Appropriations*"</f>
        <v>Unexpended Balances of 2018 Appropriations*</v>
      </c>
      <c r="C8" s="690"/>
      <c r="D8" s="690"/>
      <c r="E8" s="690"/>
      <c r="F8" s="690"/>
      <c r="G8" s="690"/>
      <c r="H8" s="690"/>
      <c r="I8" s="690"/>
      <c r="J8" s="690"/>
      <c r="K8" s="1204" t="s">
        <v>787</v>
      </c>
      <c r="L8" s="1124">
        <f>+'45-Utility5'!K50</f>
        <v>0</v>
      </c>
      <c r="N8" s="322"/>
      <c r="O8" s="322"/>
      <c r="P8" s="322"/>
      <c r="Q8" s="322"/>
      <c r="R8" s="322"/>
      <c r="S8" s="322"/>
      <c r="T8" s="322"/>
    </row>
    <row r="9" spans="2:26" ht="21" customHeight="1">
      <c r="B9" s="705"/>
      <c r="C9" s="648"/>
      <c r="D9" s="648"/>
      <c r="E9" s="648"/>
      <c r="F9" s="648"/>
      <c r="G9" s="648"/>
      <c r="H9" s="648"/>
      <c r="I9" s="690"/>
      <c r="J9" s="690"/>
      <c r="K9" s="658"/>
      <c r="L9" s="609"/>
      <c r="N9" s="322"/>
      <c r="O9" s="322"/>
      <c r="P9" s="322"/>
      <c r="Q9" s="322"/>
      <c r="R9" s="322"/>
      <c r="S9" s="322"/>
      <c r="T9" s="322"/>
    </row>
    <row r="10" spans="2:26" ht="21" customHeight="1">
      <c r="B10" s="1114" t="s">
        <v>3441</v>
      </c>
      <c r="C10" s="1114"/>
      <c r="D10" s="1114"/>
      <c r="E10" s="1114"/>
      <c r="F10" s="1114"/>
      <c r="G10" s="1114"/>
      <c r="H10" s="1114"/>
      <c r="I10" s="1114"/>
      <c r="J10" s="1114"/>
      <c r="K10" s="1198"/>
      <c r="L10" s="1206" t="s">
        <v>787</v>
      </c>
      <c r="M10" s="399">
        <f>+L9+L8+L7+L6+L5-K11-K10-K9</f>
        <v>0</v>
      </c>
      <c r="N10" s="710" t="s">
        <v>3666</v>
      </c>
      <c r="O10" s="322"/>
      <c r="P10" s="322"/>
      <c r="Q10" s="322"/>
      <c r="R10" s="322"/>
      <c r="S10" s="322"/>
      <c r="T10" s="322"/>
      <c r="V10" s="477">
        <f>-'44-Utility5'!U22</f>
        <v>0</v>
      </c>
    </row>
    <row r="11" spans="2:26" ht="21" customHeight="1">
      <c r="B11" s="702"/>
      <c r="C11" s="1199"/>
      <c r="D11" s="648"/>
      <c r="E11" s="648"/>
      <c r="F11" s="648"/>
      <c r="G11" s="648"/>
      <c r="H11" s="648"/>
      <c r="I11" s="690"/>
      <c r="J11" s="690"/>
      <c r="K11" s="601"/>
      <c r="L11" s="1206" t="s">
        <v>787</v>
      </c>
      <c r="N11" s="322"/>
      <c r="O11" s="322"/>
      <c r="P11" s="322"/>
      <c r="Q11" s="322"/>
      <c r="R11" s="322"/>
      <c r="S11" s="322"/>
      <c r="T11" s="322"/>
      <c r="U11" s="322"/>
      <c r="V11" s="322"/>
      <c r="W11" s="322"/>
      <c r="X11" s="322"/>
      <c r="Y11" s="322"/>
      <c r="Z11" s="322"/>
    </row>
    <row r="12" spans="2:26" ht="21" customHeight="1">
      <c r="B12" s="696" t="s">
        <v>273</v>
      </c>
      <c r="C12" s="1172"/>
      <c r="D12" s="690"/>
      <c r="E12" s="690"/>
      <c r="F12" s="690"/>
      <c r="G12" s="690"/>
      <c r="H12" s="690"/>
      <c r="I12" s="690"/>
      <c r="J12" s="690"/>
      <c r="K12" s="1204" t="s">
        <v>787</v>
      </c>
      <c r="L12" s="1205">
        <f>IF(M10&gt;0,0,M10*-1)</f>
        <v>0</v>
      </c>
      <c r="N12" s="322"/>
      <c r="O12" s="322"/>
      <c r="P12" s="322"/>
      <c r="Q12" s="322"/>
      <c r="R12" s="322"/>
      <c r="S12" s="322"/>
      <c r="T12" s="322"/>
      <c r="U12" s="322"/>
      <c r="V12" s="322"/>
      <c r="W12" s="322"/>
      <c r="X12" s="322"/>
      <c r="Y12" s="322"/>
      <c r="Z12" s="322"/>
    </row>
    <row r="13" spans="2:26" ht="21" customHeight="1" thickBot="1">
      <c r="B13" s="696" t="s">
        <v>274</v>
      </c>
      <c r="C13" s="1172"/>
      <c r="D13" s="690"/>
      <c r="E13" s="690"/>
      <c r="F13" s="690"/>
      <c r="G13" s="690"/>
      <c r="H13" s="690"/>
      <c r="I13" s="690"/>
      <c r="J13" s="690"/>
      <c r="K13" s="689">
        <f>IF(M10&gt;0,M10,0)</f>
        <v>0</v>
      </c>
      <c r="L13" s="1207" t="s">
        <v>787</v>
      </c>
      <c r="M13" s="399"/>
      <c r="N13" s="322"/>
      <c r="O13" s="322"/>
      <c r="P13" s="322"/>
      <c r="Q13" s="322"/>
      <c r="R13" s="322"/>
      <c r="S13" s="322"/>
      <c r="T13" s="322"/>
      <c r="U13" s="322"/>
      <c r="V13" s="476">
        <f>U11</f>
        <v>0</v>
      </c>
      <c r="W13" s="322"/>
      <c r="X13" s="322"/>
      <c r="Y13" s="322"/>
      <c r="Z13" s="322"/>
    </row>
    <row r="14" spans="2:26" ht="21" customHeight="1" thickBot="1">
      <c r="B14" s="1209" t="s">
        <v>3440</v>
      </c>
      <c r="C14" s="1114"/>
      <c r="D14" s="1114"/>
      <c r="E14" s="1114"/>
      <c r="F14" s="1114"/>
      <c r="G14" s="1114"/>
      <c r="H14" s="1114"/>
      <c r="I14" s="1114"/>
      <c r="J14" s="1114"/>
      <c r="K14" s="1131">
        <f>SUM(K5:K13)</f>
        <v>0</v>
      </c>
      <c r="L14" s="1132">
        <f>SUM(L5:L13)</f>
        <v>0</v>
      </c>
      <c r="M14" s="399">
        <f>L14-K14</f>
        <v>0</v>
      </c>
      <c r="N14" s="710" t="s">
        <v>3666</v>
      </c>
      <c r="O14" s="322"/>
      <c r="P14" s="322"/>
      <c r="Q14" s="322"/>
      <c r="R14" s="322"/>
      <c r="S14" s="322"/>
      <c r="T14" s="322"/>
      <c r="U14" s="322"/>
      <c r="V14" s="322"/>
      <c r="W14" s="322"/>
      <c r="X14" s="322"/>
      <c r="Y14" s="322"/>
      <c r="Z14" s="322"/>
    </row>
    <row r="15" spans="2:26" ht="18.75" customHeight="1" thickTop="1">
      <c r="N15" s="322"/>
      <c r="O15" s="322"/>
      <c r="P15" s="322"/>
      <c r="Q15" s="322"/>
      <c r="R15" s="322"/>
      <c r="S15" s="322"/>
      <c r="T15" s="322"/>
    </row>
    <row r="16" spans="2:26" ht="18.75" customHeight="1">
      <c r="K16" s="399"/>
      <c r="N16" s="322"/>
      <c r="O16" s="322"/>
      <c r="P16" s="322"/>
      <c r="Q16" s="322"/>
      <c r="R16" s="322"/>
      <c r="S16" s="322"/>
      <c r="T16" s="322"/>
    </row>
    <row r="17" spans="2:20" ht="22.8">
      <c r="B17" s="1759" t="str">
        <f>"OPERATING  SURPLUS  - "&amp;UPPER('KEY INPUTS'!D56)&amp;" UTILITY"</f>
        <v>OPERATING  SURPLUS  -  UTILITY</v>
      </c>
      <c r="C17" s="1759"/>
      <c r="D17" s="1759"/>
      <c r="E17" s="1759"/>
      <c r="F17" s="1759"/>
      <c r="G17" s="1759"/>
      <c r="H17" s="1759"/>
      <c r="I17" s="1759"/>
      <c r="J17" s="1759"/>
      <c r="K17" s="1759"/>
      <c r="L17" s="1759"/>
      <c r="N17" s="322"/>
      <c r="O17" s="322"/>
      <c r="P17" s="322"/>
      <c r="Q17" s="322"/>
      <c r="R17" s="322"/>
      <c r="S17" s="322"/>
      <c r="T17" s="322"/>
    </row>
    <row r="18" spans="2:20" ht="6.75" customHeight="1" thickBot="1">
      <c r="B18" s="1114"/>
      <c r="C18" s="1114"/>
      <c r="D18" s="1114"/>
      <c r="E18" s="1114"/>
      <c r="F18" s="1114"/>
      <c r="G18" s="1114"/>
      <c r="H18" s="1114"/>
      <c r="I18" s="1114"/>
      <c r="J18" s="1114"/>
      <c r="K18" s="1114"/>
      <c r="L18" s="1114"/>
      <c r="N18" s="322"/>
      <c r="O18" s="322"/>
      <c r="P18" s="322"/>
      <c r="Q18" s="322"/>
      <c r="R18" s="322"/>
      <c r="S18" s="322"/>
      <c r="T18" s="322"/>
    </row>
    <row r="19" spans="2:20" ht="25.5" customHeight="1" thickTop="1" thickBot="1">
      <c r="B19" s="1333"/>
      <c r="C19" s="1333"/>
      <c r="D19" s="1333"/>
      <c r="E19" s="1333"/>
      <c r="F19" s="1333"/>
      <c r="G19" s="1333"/>
      <c r="H19" s="1333"/>
      <c r="I19" s="1333"/>
      <c r="J19" s="1333"/>
      <c r="K19" s="1115" t="s">
        <v>125</v>
      </c>
      <c r="L19" s="1116" t="s">
        <v>126</v>
      </c>
      <c r="N19" s="322"/>
      <c r="O19" s="322"/>
      <c r="P19" s="322"/>
      <c r="Q19" s="322"/>
      <c r="R19" s="322"/>
      <c r="S19" s="322"/>
      <c r="T19" s="322"/>
    </row>
    <row r="20" spans="2:20" ht="21" customHeight="1" thickTop="1">
      <c r="B20" s="1211" t="str">
        <f>'KEY INPUTS'!D25</f>
        <v>Balance - January 1, 2019</v>
      </c>
      <c r="C20" s="1170"/>
      <c r="D20" s="1170"/>
      <c r="E20" s="1170"/>
      <c r="F20" s="1170"/>
      <c r="G20" s="1170"/>
      <c r="H20" s="1170"/>
      <c r="I20" s="1170"/>
      <c r="J20" s="1170"/>
      <c r="K20" s="1335" t="s">
        <v>787</v>
      </c>
      <c r="L20" s="924"/>
      <c r="N20" s="322"/>
      <c r="O20" s="322"/>
      <c r="P20" s="322"/>
      <c r="Q20" s="322"/>
      <c r="R20" s="322"/>
      <c r="S20" s="322"/>
      <c r="T20" s="322"/>
    </row>
    <row r="21" spans="2:20" ht="21" customHeight="1">
      <c r="B21" s="1200"/>
      <c r="C21" s="648"/>
      <c r="D21" s="648"/>
      <c r="E21" s="648"/>
      <c r="F21" s="648"/>
      <c r="G21" s="648"/>
      <c r="H21" s="648"/>
      <c r="I21" s="648"/>
      <c r="J21" s="648"/>
      <c r="K21" s="1198"/>
      <c r="L21" s="922"/>
      <c r="N21" s="322"/>
      <c r="O21" s="322"/>
      <c r="P21" s="322"/>
      <c r="Q21" s="322"/>
      <c r="R21" s="322"/>
      <c r="S21" s="322"/>
      <c r="T21" s="322"/>
    </row>
    <row r="22" spans="2:20" ht="21" customHeight="1">
      <c r="B22" s="914" t="str">
        <f>"Excess in Results of "&amp;TEXT('KEY INPUTS'!D34,"0")&amp;" Operations"</f>
        <v>Excess in Results of 2019 Operations</v>
      </c>
      <c r="C22" s="690"/>
      <c r="D22" s="690"/>
      <c r="E22" s="690"/>
      <c r="F22" s="690"/>
      <c r="G22" s="690"/>
      <c r="H22" s="690"/>
      <c r="I22" s="690"/>
      <c r="J22" s="690"/>
      <c r="K22" s="1336" t="s">
        <v>787</v>
      </c>
      <c r="L22" s="1337">
        <f>+K13</f>
        <v>0</v>
      </c>
    </row>
    <row r="23" spans="2:20" ht="21" customHeight="1">
      <c r="B23" s="914" t="str">
        <f>"Amount Appropriated in the "&amp;TEXT('KEY INPUTS'!D34,"0")&amp;" Budget - Cash"</f>
        <v>Amount Appropriated in the 2019 Budget - Cash</v>
      </c>
      <c r="C23" s="690"/>
      <c r="D23" s="690"/>
      <c r="E23" s="690"/>
      <c r="F23" s="690"/>
      <c r="G23" s="690"/>
      <c r="H23" s="690"/>
      <c r="I23" s="690"/>
      <c r="J23" s="690"/>
      <c r="K23" s="1338">
        <f>'44-Utility5'!I7</f>
        <v>0</v>
      </c>
      <c r="L23" s="1339" t="s">
        <v>787</v>
      </c>
    </row>
    <row r="24" spans="2:20" ht="11.25" customHeight="1">
      <c r="B24" s="1189" t="str">
        <f>"Amount Appropriated in "&amp;TEXT('KEY INPUTS'!D34,"0")&amp;" Budget with Prior Written"</f>
        <v>Amount Appropriated in 2019 Budget with Prior Written</v>
      </c>
      <c r="C24" s="1114"/>
      <c r="D24" s="1114"/>
      <c r="E24" s="1114"/>
      <c r="F24" s="1114"/>
      <c r="G24" s="1114"/>
      <c r="H24" s="1114"/>
      <c r="I24" s="1114"/>
      <c r="J24" s="1114"/>
      <c r="K24" s="1925"/>
      <c r="L24" s="1923" t="s">
        <v>787</v>
      </c>
    </row>
    <row r="25" spans="2:20" ht="12.75" customHeight="1">
      <c r="B25" s="1128" t="s">
        <v>1065</v>
      </c>
      <c r="C25" s="1128"/>
      <c r="D25" s="1128"/>
      <c r="E25" s="1128"/>
      <c r="F25" s="1128"/>
      <c r="G25" s="1128"/>
      <c r="H25" s="1128"/>
      <c r="I25" s="1128"/>
      <c r="J25" s="1128"/>
      <c r="K25" s="1926"/>
      <c r="L25" s="1924"/>
    </row>
    <row r="26" spans="2:20" ht="21" customHeight="1">
      <c r="B26" s="1200"/>
      <c r="C26" s="648"/>
      <c r="D26" s="648"/>
      <c r="E26" s="648"/>
      <c r="F26" s="648"/>
      <c r="G26" s="648"/>
      <c r="H26" s="648"/>
      <c r="I26" s="648"/>
      <c r="J26" s="648"/>
      <c r="K26" s="923"/>
      <c r="L26" s="1201"/>
    </row>
    <row r="27" spans="2:20" ht="21" customHeight="1" thickBot="1">
      <c r="B27" s="690" t="str">
        <f>'KEY INPUTS'!D26</f>
        <v>Balance - December 31, 2019</v>
      </c>
      <c r="C27" s="690"/>
      <c r="D27" s="690"/>
      <c r="E27" s="690"/>
      <c r="F27" s="690"/>
      <c r="G27" s="690"/>
      <c r="H27" s="690"/>
      <c r="I27" s="690"/>
      <c r="J27" s="690"/>
      <c r="K27" s="1340">
        <f>+SUM(L20:L26)-SUM(K21:K26)</f>
        <v>0</v>
      </c>
      <c r="L27" s="1341" t="s">
        <v>787</v>
      </c>
      <c r="N27" s="776" t="s">
        <v>3529</v>
      </c>
    </row>
    <row r="28" spans="2:20" ht="21" customHeight="1" thickBot="1">
      <c r="B28" s="1114"/>
      <c r="C28" s="1114"/>
      <c r="D28" s="1114"/>
      <c r="E28" s="1114"/>
      <c r="F28" s="1114"/>
      <c r="G28" s="1114"/>
      <c r="H28" s="1114"/>
      <c r="I28" s="1114"/>
      <c r="J28" s="1114"/>
      <c r="K28" s="1342">
        <f>SUM(K21:K27)</f>
        <v>0</v>
      </c>
      <c r="L28" s="1343">
        <f>SUM(L20:L27)</f>
        <v>0</v>
      </c>
    </row>
    <row r="29" spans="2:20" ht="13.8" thickTop="1"/>
    <row r="32" spans="2:20" ht="17.399999999999999">
      <c r="B32" s="1805" t="str">
        <f>"ANALYSIS  OF  BALANCE  DECEMBER 31, "&amp;TEXT('KEY INPUTS'!D34,"0")&amp;""</f>
        <v>ANALYSIS  OF  BALANCE  DECEMBER 31, 2019</v>
      </c>
      <c r="C32" s="1805"/>
      <c r="D32" s="1805"/>
      <c r="E32" s="1805"/>
      <c r="F32" s="1805"/>
      <c r="G32" s="1805"/>
      <c r="H32" s="1805"/>
      <c r="I32" s="1805"/>
      <c r="J32" s="1805"/>
      <c r="K32" s="1805"/>
      <c r="L32" s="1805"/>
    </row>
    <row r="33" spans="2:14" ht="17.399999999999999">
      <c r="B33" s="1805" t="str">
        <f>"(FROM "&amp;UPPER('KEY INPUTS'!D56)&amp;" UTILITY  -  TRIAL  BALANCE)"</f>
        <v>(FROM  UTILITY  -  TRIAL  BALANCE)</v>
      </c>
      <c r="C33" s="1805"/>
      <c r="D33" s="1805"/>
      <c r="E33" s="1805"/>
      <c r="F33" s="1805"/>
      <c r="G33" s="1805"/>
      <c r="H33" s="1805"/>
      <c r="I33" s="1805"/>
      <c r="J33" s="1805"/>
      <c r="K33" s="1805"/>
      <c r="L33" s="1805"/>
    </row>
    <row r="34" spans="2:14" ht="13.8" thickBot="1">
      <c r="B34" s="1114"/>
      <c r="C34" s="1114"/>
      <c r="D34" s="1114"/>
      <c r="E34" s="1114"/>
      <c r="F34" s="1114"/>
      <c r="G34" s="1114"/>
      <c r="H34" s="1114"/>
      <c r="I34" s="1114"/>
      <c r="J34" s="1114"/>
      <c r="K34" s="1114"/>
      <c r="L34" s="1114"/>
    </row>
    <row r="35" spans="2:14" ht="21" customHeight="1" thickTop="1">
      <c r="B35" s="1170" t="s">
        <v>253</v>
      </c>
      <c r="C35" s="1170"/>
      <c r="D35" s="1170"/>
      <c r="E35" s="1170"/>
      <c r="F35" s="1170"/>
      <c r="G35" s="1170"/>
      <c r="H35" s="1170"/>
      <c r="I35" s="1170"/>
      <c r="J35" s="1170"/>
      <c r="K35" s="1214"/>
      <c r="L35" s="1213">
        <f>+'41-Utility5'!G13</f>
        <v>0</v>
      </c>
    </row>
    <row r="36" spans="2:14" ht="21" customHeight="1">
      <c r="B36" s="690" t="s">
        <v>419</v>
      </c>
      <c r="C36" s="690"/>
      <c r="D36" s="690"/>
      <c r="E36" s="690"/>
      <c r="F36" s="690"/>
      <c r="G36" s="690"/>
      <c r="H36" s="690"/>
      <c r="I36" s="690"/>
      <c r="J36" s="690"/>
      <c r="K36" s="1215"/>
      <c r="L36" s="631"/>
    </row>
    <row r="37" spans="2:14" ht="21" customHeight="1" thickBot="1">
      <c r="B37" s="690" t="s">
        <v>829</v>
      </c>
      <c r="C37" s="690"/>
      <c r="D37" s="690"/>
      <c r="E37" s="690"/>
      <c r="F37" s="690"/>
      <c r="G37" s="690"/>
      <c r="H37" s="690"/>
      <c r="I37" s="690"/>
      <c r="J37" s="690"/>
      <c r="K37" s="1215"/>
      <c r="L37" s="633"/>
    </row>
    <row r="38" spans="2:14" ht="21" customHeight="1" thickTop="1">
      <c r="B38" s="690"/>
      <c r="C38" s="690"/>
      <c r="D38" s="690" t="s">
        <v>421</v>
      </c>
      <c r="E38" s="690"/>
      <c r="F38" s="690"/>
      <c r="G38" s="690"/>
      <c r="H38" s="690"/>
      <c r="I38" s="690"/>
      <c r="J38" s="690"/>
      <c r="K38" s="1215"/>
      <c r="L38" s="1216">
        <f>SUM(L35:L37)</f>
        <v>0</v>
      </c>
    </row>
    <row r="39" spans="2:14" ht="21" customHeight="1" thickBot="1">
      <c r="B39" s="690" t="s">
        <v>470</v>
      </c>
      <c r="C39" s="690"/>
      <c r="D39" s="690"/>
      <c r="E39" s="690"/>
      <c r="F39" s="690"/>
      <c r="G39" s="690"/>
      <c r="H39" s="690"/>
      <c r="I39" s="690"/>
      <c r="J39" s="690"/>
      <c r="K39" s="1215"/>
      <c r="L39" s="1217">
        <f>+'41-Utility5'!H39</f>
        <v>0</v>
      </c>
    </row>
    <row r="40" spans="2:14" ht="21" customHeight="1" thickTop="1">
      <c r="B40" s="690"/>
      <c r="C40" s="690"/>
      <c r="D40" s="690" t="s">
        <v>268</v>
      </c>
      <c r="E40" s="690"/>
      <c r="F40" s="690"/>
      <c r="G40" s="690"/>
      <c r="H40" s="690"/>
      <c r="I40" s="690"/>
      <c r="J40" s="690"/>
      <c r="K40" s="1215"/>
      <c r="L40" s="1216">
        <f>+L38-L39</f>
        <v>0</v>
      </c>
    </row>
    <row r="41" spans="2:14" ht="21" customHeight="1">
      <c r="B41" s="690" t="s">
        <v>477</v>
      </c>
      <c r="C41" s="690"/>
      <c r="D41" s="690"/>
      <c r="E41" s="690"/>
      <c r="F41" s="690"/>
      <c r="G41" s="690"/>
      <c r="H41" s="690"/>
      <c r="I41" s="690"/>
      <c r="J41" s="690"/>
      <c r="K41" s="691"/>
      <c r="L41" s="1120"/>
    </row>
    <row r="42" spans="2:14" ht="22.5" customHeight="1">
      <c r="B42" s="690"/>
      <c r="C42" s="1804" t="s">
        <v>473</v>
      </c>
      <c r="D42" s="1804"/>
      <c r="E42" s="1804"/>
      <c r="F42" s="1804"/>
      <c r="G42" s="1804"/>
      <c r="H42" s="1223"/>
      <c r="I42" s="690"/>
      <c r="J42" s="690"/>
      <c r="K42" s="601"/>
      <c r="L42" s="1120"/>
    </row>
    <row r="43" spans="2:14" ht="21" customHeight="1">
      <c r="B43" s="690"/>
      <c r="C43" s="690" t="s">
        <v>269</v>
      </c>
      <c r="D43" s="690"/>
      <c r="E43" s="690"/>
      <c r="F43" s="690"/>
      <c r="G43" s="690"/>
      <c r="H43" s="690"/>
      <c r="I43" s="690"/>
      <c r="J43" s="690"/>
      <c r="K43" s="601"/>
      <c r="L43" s="1120"/>
      <c r="M43" s="399"/>
      <c r="N43" s="399"/>
    </row>
    <row r="44" spans="2:14" ht="21" customHeight="1" thickBot="1">
      <c r="B44" s="690"/>
      <c r="C44" s="690"/>
      <c r="D44" s="690" t="s">
        <v>475</v>
      </c>
      <c r="E44" s="690"/>
      <c r="F44" s="690"/>
      <c r="G44" s="690"/>
      <c r="H44" s="690"/>
      <c r="I44" s="690"/>
      <c r="J44" s="690"/>
      <c r="K44" s="1219"/>
      <c r="L44" s="1130">
        <f>SUM(K42:K43)</f>
        <v>0</v>
      </c>
    </row>
    <row r="45" spans="2:14" ht="21" customHeight="1" thickBot="1">
      <c r="B45" s="1220" t="str">
        <f>"# MAY NOT BE ANTICIPATED AS NON-CASH SURPLUS IN "&amp;TEXT('KEY INPUTS'!D34,"0")&amp;" BUDGET."</f>
        <v># MAY NOT BE ANTICIPATED AS NON-CASH SURPLUS IN 2019 BUDGET.</v>
      </c>
      <c r="C45" s="1114"/>
      <c r="D45" s="1114"/>
      <c r="E45" s="1114"/>
      <c r="F45" s="1114"/>
      <c r="G45" s="1114"/>
      <c r="H45" s="1114"/>
      <c r="I45" s="1114"/>
      <c r="J45" s="1114"/>
      <c r="K45" s="1221"/>
      <c r="L45" s="1218">
        <f>+L40+L44</f>
        <v>0</v>
      </c>
      <c r="M45" s="399"/>
      <c r="N45" s="776" t="s">
        <v>3529</v>
      </c>
    </row>
    <row r="46" spans="2:14" ht="13.8" thickTop="1">
      <c r="B46" s="470" t="s">
        <v>275</v>
      </c>
      <c r="C46" s="470"/>
    </row>
    <row r="47" spans="2:14">
      <c r="B47" s="470"/>
      <c r="C47" s="470" t="s">
        <v>3439</v>
      </c>
    </row>
    <row r="52" spans="2:12" ht="13.8">
      <c r="B52" s="1765" t="s">
        <v>3438</v>
      </c>
      <c r="C52" s="1765"/>
      <c r="D52" s="1765"/>
      <c r="E52" s="1765"/>
      <c r="F52" s="1765"/>
      <c r="G52" s="1765"/>
      <c r="H52" s="1765"/>
      <c r="I52" s="1765"/>
      <c r="J52" s="1765"/>
      <c r="K52" s="1765"/>
      <c r="L52" s="1765"/>
    </row>
  </sheetData>
  <sheetProtection password="CAF9" sheet="1" objects="1" scenarios="1"/>
  <customSheetViews>
    <customSheetView guid="{AC653BD0-46E3-42CB-9C76-32121A57B65A}">
      <pageMargins left="0.25" right="0.25" top="0.5" bottom="0.5" header="0.25" footer="0.25"/>
      <pageSetup paperSize="5" orientation="portrait" r:id="rId1"/>
      <headerFooter alignWithMargins="0"/>
    </customSheetView>
    <customSheetView guid="{B165479B-DC25-403C-9595-F1A88A4AA9A2}">
      <pageMargins left="0.25" right="0.25" top="0.5" bottom="0.5" header="0.25" footer="0.25"/>
      <pageSetup paperSize="5" orientation="portrait" r:id="rId2"/>
      <headerFooter alignWithMargins="0"/>
    </customSheetView>
    <customSheetView guid="{A64E4C9E-A3DA-4AAA-8607-F524450B9436}">
      <pageMargins left="0.25" right="0.25" top="0.5" bottom="0.5" header="0.25" footer="0.25"/>
      <pageSetup paperSize="5" orientation="portrait" r:id="rId3"/>
      <headerFooter alignWithMargins="0"/>
    </customSheetView>
    <customSheetView guid="{AB4FBD91-4533-473A-9702-569FF6402073}">
      <pageMargins left="0.25" right="0.25" top="0.5" bottom="0.5" header="0.25" footer="0.25"/>
      <pageSetup paperSize="5" orientation="portrait" r:id="rId4"/>
      <headerFooter alignWithMargins="0"/>
    </customSheetView>
  </customSheetViews>
  <mergeCells count="8">
    <mergeCell ref="B52:L52"/>
    <mergeCell ref="B2:L2"/>
    <mergeCell ref="B17:L17"/>
    <mergeCell ref="B32:L32"/>
    <mergeCell ref="B33:L33"/>
    <mergeCell ref="C42:G42"/>
    <mergeCell ref="K24:K25"/>
    <mergeCell ref="L24:L25"/>
  </mergeCells>
  <pageMargins left="0.25" right="0.25" top="0.5" bottom="0.5" header="0.25" footer="0.25"/>
  <pageSetup paperSize="5" orientation="portrait" r:id="rId5"/>
  <headerFooter alignWithMargins="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Sheet255">
    <tabColor theme="7" tint="0.39997558519241921"/>
  </sheetPr>
  <dimension ref="B3:T69"/>
  <sheetViews>
    <sheetView zoomScaleNormal="100" zoomScaleSheetLayoutView="80" workbookViewId="0">
      <selection activeCell="B1" sqref="B1"/>
    </sheetView>
  </sheetViews>
  <sheetFormatPr defaultColWidth="9.109375" defaultRowHeight="13.2"/>
  <cols>
    <col min="1" max="4" width="4.6640625" style="331" customWidth="1"/>
    <col min="5" max="8" width="9.109375" style="331"/>
    <col min="9" max="9" width="1.6640625" style="331" customWidth="1"/>
    <col min="10" max="10" width="16.6640625" style="331" customWidth="1"/>
    <col min="11" max="11" width="1.6640625" style="331" customWidth="1"/>
    <col min="12" max="12" width="16.6640625" style="331" customWidth="1"/>
    <col min="13" max="16384" width="9.109375" style="331"/>
  </cols>
  <sheetData>
    <row r="3" spans="2:20" ht="17.399999999999999">
      <c r="B3" s="1811" t="str">
        <f>"SCHEDULE  OF "&amp;UPPER('KEY INPUTS'!D56&amp;"  UTILITY  ACCOUNTS  RECEIVABLE")</f>
        <v>SCHEDULE  OF   UTILITY  ACCOUNTS  RECEIVABLE</v>
      </c>
      <c r="C3" s="1811"/>
      <c r="D3" s="1811"/>
      <c r="E3" s="1811"/>
      <c r="F3" s="1811"/>
      <c r="G3" s="1811"/>
      <c r="H3" s="1811"/>
      <c r="I3" s="1811"/>
      <c r="J3" s="1811"/>
      <c r="K3" s="1811"/>
      <c r="L3" s="1811"/>
    </row>
    <row r="6" spans="2:20">
      <c r="B6" s="480" t="str">
        <f>"Balance December 31, "&amp;'KEY INPUTS'!D35</f>
        <v>Balance December 31, 2018</v>
      </c>
      <c r="J6" s="287"/>
      <c r="K6" s="331" t="s">
        <v>482</v>
      </c>
      <c r="L6" s="580"/>
      <c r="N6" s="322"/>
      <c r="O6" s="322"/>
      <c r="P6" s="322"/>
      <c r="Q6" s="322"/>
      <c r="R6" s="322"/>
      <c r="S6" s="322"/>
      <c r="T6" s="322"/>
    </row>
    <row r="7" spans="2:20">
      <c r="J7" s="287"/>
      <c r="K7" s="287"/>
      <c r="L7" s="287"/>
      <c r="N7" s="322"/>
      <c r="O7" s="322"/>
      <c r="P7" s="322"/>
      <c r="Q7" s="322"/>
      <c r="R7" s="322"/>
      <c r="S7" s="322"/>
      <c r="T7" s="322"/>
    </row>
    <row r="8" spans="2:20">
      <c r="J8" s="287"/>
      <c r="K8" s="287"/>
      <c r="L8" s="287"/>
      <c r="N8" s="377"/>
      <c r="O8" s="322"/>
      <c r="P8" s="322"/>
      <c r="Q8" s="322"/>
      <c r="R8" s="322"/>
      <c r="S8" s="322"/>
      <c r="T8" s="322"/>
    </row>
    <row r="9" spans="2:20">
      <c r="J9" s="287"/>
      <c r="K9" s="287"/>
      <c r="L9" s="287"/>
      <c r="N9" s="322"/>
      <c r="O9" s="322"/>
      <c r="P9" s="322"/>
      <c r="Q9" s="322"/>
      <c r="R9" s="322"/>
      <c r="S9" s="322"/>
      <c r="T9" s="322"/>
    </row>
    <row r="10" spans="2:20">
      <c r="B10" s="331" t="s">
        <v>276</v>
      </c>
      <c r="J10" s="287"/>
      <c r="K10" s="287"/>
      <c r="L10" s="287"/>
      <c r="N10" s="322"/>
      <c r="O10" s="322"/>
      <c r="P10" s="322"/>
      <c r="Q10" s="322"/>
      <c r="R10" s="322"/>
      <c r="S10" s="322"/>
      <c r="T10" s="322"/>
    </row>
    <row r="11" spans="2:20">
      <c r="D11" s="1192" t="s">
        <v>3783</v>
      </c>
      <c r="E11" s="1192"/>
      <c r="F11" s="1192"/>
      <c r="G11" s="1114"/>
      <c r="J11" s="287"/>
      <c r="K11" s="331" t="s">
        <v>482</v>
      </c>
      <c r="L11" s="580"/>
      <c r="N11" s="322"/>
      <c r="O11" s="322"/>
      <c r="P11" s="322"/>
      <c r="Q11" s="322"/>
      <c r="R11" s="322"/>
      <c r="S11" s="322"/>
      <c r="T11" s="322"/>
    </row>
    <row r="12" spans="2:20">
      <c r="J12" s="287"/>
      <c r="K12" s="287"/>
      <c r="L12" s="287"/>
      <c r="N12" s="322"/>
      <c r="O12" s="322"/>
      <c r="P12" s="322"/>
      <c r="Q12" s="322"/>
      <c r="R12" s="322"/>
      <c r="S12" s="322"/>
      <c r="T12" s="322"/>
    </row>
    <row r="13" spans="2:20">
      <c r="J13" s="287"/>
      <c r="K13" s="287"/>
      <c r="L13" s="287"/>
      <c r="N13" s="322"/>
      <c r="O13" s="322"/>
      <c r="P13" s="322"/>
      <c r="Q13" s="322"/>
      <c r="R13" s="322"/>
      <c r="S13" s="322"/>
      <c r="T13" s="322"/>
    </row>
    <row r="14" spans="2:20">
      <c r="J14" s="287"/>
      <c r="K14" s="287"/>
      <c r="L14" s="287"/>
      <c r="N14" s="322"/>
      <c r="O14" s="322"/>
      <c r="P14" s="322"/>
      <c r="Q14" s="322"/>
      <c r="R14" s="322"/>
      <c r="S14" s="322"/>
      <c r="T14" s="322"/>
    </row>
    <row r="15" spans="2:20">
      <c r="B15" s="331" t="s">
        <v>277</v>
      </c>
      <c r="J15" s="287"/>
      <c r="K15" s="287"/>
      <c r="L15" s="287"/>
      <c r="N15" s="322"/>
      <c r="O15" s="322"/>
      <c r="P15" s="322"/>
      <c r="Q15" s="322"/>
      <c r="R15" s="322"/>
      <c r="S15" s="322"/>
      <c r="T15" s="322"/>
    </row>
    <row r="16" spans="2:20" ht="21" customHeight="1">
      <c r="D16" s="331" t="s">
        <v>278</v>
      </c>
      <c r="I16" s="331" t="s">
        <v>482</v>
      </c>
      <c r="J16" s="580"/>
      <c r="K16" s="287"/>
      <c r="L16" s="287"/>
      <c r="N16" s="322"/>
      <c r="O16" s="322"/>
      <c r="P16" s="322"/>
      <c r="Q16" s="322"/>
      <c r="R16" s="322"/>
      <c r="S16" s="322"/>
      <c r="T16" s="322"/>
    </row>
    <row r="17" spans="2:20" ht="21" customHeight="1">
      <c r="D17" s="331" t="s">
        <v>279</v>
      </c>
      <c r="I17" s="331" t="s">
        <v>482</v>
      </c>
      <c r="J17" s="580"/>
      <c r="K17" s="287"/>
      <c r="L17" s="287"/>
      <c r="N17" s="322"/>
      <c r="O17" s="322"/>
      <c r="P17" s="322"/>
      <c r="Q17" s="322"/>
      <c r="R17" s="322"/>
      <c r="S17" s="322"/>
      <c r="T17" s="322"/>
    </row>
    <row r="18" spans="2:20" ht="21" customHeight="1">
      <c r="D18" s="1114" t="s">
        <v>3784</v>
      </c>
      <c r="E18" s="1114"/>
      <c r="F18" s="1192"/>
      <c r="G18" s="1192"/>
      <c r="I18" s="331" t="s">
        <v>482</v>
      </c>
      <c r="J18" s="580"/>
      <c r="K18" s="287"/>
      <c r="L18" s="287"/>
      <c r="N18" s="322"/>
      <c r="O18" s="322"/>
      <c r="P18" s="322"/>
      <c r="Q18" s="322"/>
      <c r="R18" s="322"/>
      <c r="S18" s="322"/>
      <c r="T18" s="322"/>
    </row>
    <row r="19" spans="2:20" ht="21" customHeight="1">
      <c r="D19" s="331" t="s">
        <v>280</v>
      </c>
      <c r="I19" s="331" t="s">
        <v>482</v>
      </c>
      <c r="J19" s="580"/>
      <c r="K19" s="287"/>
      <c r="L19" s="287"/>
      <c r="N19" s="322"/>
      <c r="O19" s="322"/>
      <c r="P19" s="322"/>
      <c r="Q19" s="322"/>
      <c r="R19" s="322"/>
      <c r="S19" s="322"/>
      <c r="T19" s="322"/>
    </row>
    <row r="20" spans="2:20">
      <c r="J20" s="287"/>
      <c r="K20" s="287"/>
      <c r="L20" s="287"/>
      <c r="N20" s="322"/>
      <c r="O20" s="322"/>
      <c r="P20" s="322"/>
      <c r="Q20" s="322"/>
      <c r="R20" s="322"/>
      <c r="S20" s="322"/>
      <c r="T20" s="322"/>
    </row>
    <row r="21" spans="2:20">
      <c r="J21" s="287"/>
      <c r="K21" s="331" t="s">
        <v>482</v>
      </c>
      <c r="L21" s="67">
        <f>SUM(J16:J19)</f>
        <v>0</v>
      </c>
      <c r="N21" s="322"/>
      <c r="O21" s="322"/>
      <c r="P21" s="322"/>
      <c r="Q21" s="322"/>
      <c r="R21" s="322"/>
      <c r="S21" s="322"/>
      <c r="T21" s="322"/>
    </row>
    <row r="22" spans="2:20">
      <c r="J22" s="287"/>
      <c r="K22" s="287"/>
      <c r="L22" s="287"/>
      <c r="N22" s="322"/>
      <c r="O22" s="322"/>
      <c r="P22" s="322"/>
      <c r="Q22" s="322"/>
      <c r="R22" s="322"/>
      <c r="S22" s="322"/>
      <c r="T22" s="322"/>
    </row>
    <row r="23" spans="2:20">
      <c r="J23" s="287"/>
      <c r="K23" s="287"/>
      <c r="L23" s="287"/>
    </row>
    <row r="24" spans="2:20" ht="13.8" thickBot="1">
      <c r="B24" s="478" t="str">
        <f>"Balance December 31, "&amp;'KEY INPUTS'!D34</f>
        <v>Balance December 31, 2019</v>
      </c>
      <c r="J24" s="287"/>
      <c r="K24" s="331" t="s">
        <v>482</v>
      </c>
      <c r="L24" s="84">
        <f>+L6+L11-L21</f>
        <v>0</v>
      </c>
    </row>
    <row r="25" spans="2:20" ht="13.8" thickTop="1"/>
    <row r="28" spans="2:20">
      <c r="B28" s="479"/>
      <c r="C28" s="479"/>
      <c r="D28" s="479"/>
      <c r="E28" s="479"/>
      <c r="F28" s="479"/>
      <c r="G28" s="479"/>
      <c r="H28" s="479"/>
      <c r="I28" s="479"/>
      <c r="J28" s="479"/>
      <c r="K28" s="479"/>
      <c r="L28" s="479"/>
    </row>
    <row r="29" spans="2:20" ht="4.5" customHeight="1">
      <c r="B29" s="479"/>
      <c r="C29" s="479"/>
      <c r="D29" s="479"/>
      <c r="E29" s="479"/>
      <c r="F29" s="479"/>
      <c r="G29" s="479"/>
      <c r="H29" s="479"/>
      <c r="I29" s="479"/>
      <c r="J29" s="479"/>
      <c r="K29" s="479"/>
      <c r="L29" s="479"/>
    </row>
    <row r="33" spans="2:12" ht="17.399999999999999">
      <c r="B33" s="1805" t="str">
        <f>"SCHEDULE  OF "&amp;UPPER('KEY INPUTS'!D56)&amp;" UTILITY  LIENS"</f>
        <v>SCHEDULE  OF  UTILITY  LIENS</v>
      </c>
      <c r="C33" s="1805"/>
      <c r="D33" s="1805"/>
      <c r="E33" s="1805"/>
      <c r="F33" s="1805"/>
      <c r="G33" s="1805"/>
      <c r="H33" s="1805"/>
      <c r="I33" s="1805"/>
      <c r="J33" s="1805"/>
      <c r="K33" s="1805"/>
      <c r="L33" s="1805"/>
    </row>
    <row r="36" spans="2:12">
      <c r="B36" s="478" t="str">
        <f>"Balance December 31, "&amp;'KEY INPUTS'!D35</f>
        <v>Balance December 31, 2018</v>
      </c>
      <c r="I36" s="287"/>
      <c r="J36" s="287"/>
      <c r="K36" s="287" t="s">
        <v>482</v>
      </c>
      <c r="L36" s="580"/>
    </row>
    <row r="37" spans="2:12">
      <c r="I37" s="287"/>
      <c r="J37" s="287"/>
      <c r="K37" s="287"/>
      <c r="L37" s="287"/>
    </row>
    <row r="38" spans="2:12">
      <c r="I38" s="287"/>
      <c r="J38" s="287"/>
      <c r="K38" s="287"/>
      <c r="L38" s="287"/>
    </row>
    <row r="39" spans="2:12">
      <c r="I39" s="287"/>
      <c r="J39" s="287"/>
      <c r="K39" s="287"/>
      <c r="L39" s="287"/>
    </row>
    <row r="40" spans="2:12">
      <c r="B40" s="331" t="s">
        <v>276</v>
      </c>
      <c r="I40" s="287"/>
      <c r="J40" s="287"/>
      <c r="K40" s="287"/>
      <c r="L40" s="287"/>
    </row>
    <row r="41" spans="2:12" ht="21" customHeight="1">
      <c r="D41" s="331" t="s">
        <v>281</v>
      </c>
      <c r="I41" s="331" t="s">
        <v>482</v>
      </c>
      <c r="J41" s="580"/>
      <c r="K41" s="287"/>
      <c r="L41" s="287"/>
    </row>
    <row r="42" spans="2:12" ht="21" customHeight="1">
      <c r="D42" s="331" t="s">
        <v>282</v>
      </c>
      <c r="I42" s="331" t="s">
        <v>482</v>
      </c>
      <c r="J42" s="580"/>
      <c r="K42" s="287"/>
      <c r="L42" s="287"/>
    </row>
    <row r="43" spans="2:12" ht="21" customHeight="1">
      <c r="D43" s="331" t="s">
        <v>280</v>
      </c>
      <c r="I43" s="331" t="s">
        <v>482</v>
      </c>
      <c r="J43" s="580"/>
      <c r="K43" s="125"/>
      <c r="L43" s="125"/>
    </row>
    <row r="44" spans="2:12">
      <c r="I44" s="287"/>
      <c r="J44" s="287"/>
      <c r="K44" s="287"/>
      <c r="L44" s="287"/>
    </row>
    <row r="45" spans="2:12">
      <c r="I45" s="287"/>
      <c r="J45" s="287"/>
      <c r="K45" s="331" t="s">
        <v>482</v>
      </c>
      <c r="L45" s="67">
        <f>SUM(J41:J43)</f>
        <v>0</v>
      </c>
    </row>
    <row r="46" spans="2:12">
      <c r="I46" s="287"/>
      <c r="J46" s="287"/>
      <c r="K46" s="287"/>
      <c r="L46" s="287"/>
    </row>
    <row r="47" spans="2:12">
      <c r="B47" s="331" t="s">
        <v>277</v>
      </c>
      <c r="I47" s="287"/>
      <c r="J47" s="287"/>
      <c r="K47" s="287"/>
      <c r="L47" s="287"/>
    </row>
    <row r="48" spans="2:12" ht="21" customHeight="1">
      <c r="D48" s="331" t="s">
        <v>278</v>
      </c>
      <c r="I48" s="331" t="s">
        <v>482</v>
      </c>
      <c r="J48" s="580"/>
      <c r="K48" s="287"/>
      <c r="L48" s="287"/>
    </row>
    <row r="49" spans="2:12" ht="21" customHeight="1">
      <c r="D49" s="331" t="s">
        <v>280</v>
      </c>
      <c r="I49" s="331" t="s">
        <v>482</v>
      </c>
      <c r="J49" s="580"/>
      <c r="K49" s="287"/>
      <c r="L49" s="287"/>
    </row>
    <row r="50" spans="2:12">
      <c r="I50" s="287"/>
      <c r="J50" s="287"/>
      <c r="K50" s="287"/>
      <c r="L50" s="287"/>
    </row>
    <row r="51" spans="2:12">
      <c r="I51" s="287"/>
      <c r="J51" s="287"/>
      <c r="K51" s="331" t="s">
        <v>482</v>
      </c>
      <c r="L51" s="67">
        <f>+J49+J48</f>
        <v>0</v>
      </c>
    </row>
    <row r="52" spans="2:12">
      <c r="I52" s="287"/>
      <c r="J52" s="287"/>
      <c r="K52" s="287"/>
      <c r="L52" s="287"/>
    </row>
    <row r="53" spans="2:12">
      <c r="I53" s="287"/>
      <c r="J53" s="287"/>
      <c r="K53" s="287"/>
      <c r="L53" s="287"/>
    </row>
    <row r="54" spans="2:12" ht="13.8" thickBot="1">
      <c r="B54" s="478" t="str">
        <f>"Balance December 31, "&amp;'KEY INPUTS'!D34</f>
        <v>Balance December 31, 2019</v>
      </c>
      <c r="I54" s="287"/>
      <c r="J54" s="287"/>
      <c r="K54" s="331" t="s">
        <v>482</v>
      </c>
      <c r="L54" s="84">
        <f>+L36+L45-L51</f>
        <v>0</v>
      </c>
    </row>
    <row r="55" spans="2:12" ht="13.8" thickTop="1">
      <c r="I55" s="287"/>
      <c r="J55" s="287"/>
      <c r="K55" s="287"/>
      <c r="L55" s="287"/>
    </row>
    <row r="69" spans="2:12" ht="13.8">
      <c r="B69" s="1812" t="s">
        <v>3442</v>
      </c>
      <c r="C69" s="1812"/>
      <c r="D69" s="1812"/>
      <c r="E69" s="1812"/>
      <c r="F69" s="1812"/>
      <c r="G69" s="1812"/>
      <c r="H69" s="1812"/>
      <c r="I69" s="1812"/>
      <c r="J69" s="1812"/>
      <c r="K69" s="1812"/>
      <c r="L69" s="1812"/>
    </row>
  </sheetData>
  <sheetProtection algorithmName="SHA-512" hashValue="nFqEi/5iw4FwAFkdGwmQdQxDeEtNDPcEEYHgUJsbHOg39O+N1GKp0mcQk1MW4IinEYjZPLoC69X3n0+EPmw0Hg==" saltValue="C7m7QHQDqF2FYRSJdRHZL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
    <mergeCell ref="B3:L3"/>
    <mergeCell ref="B33:L33"/>
    <mergeCell ref="B69:L69"/>
  </mergeCells>
  <pageMargins left="0.25" right="0.25" top="0.5" bottom="0.5" header="0.25" footer="0.25"/>
  <pageSetup paperSize="5" orientation="portrait" r:id="rId5"/>
  <headerFooter alignWithMargins="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Sheet256">
    <tabColor theme="7" tint="0.39997558519241921"/>
  </sheetPr>
  <dimension ref="B1:W69"/>
  <sheetViews>
    <sheetView topLeftCell="A10" zoomScaleNormal="100" zoomScaleSheetLayoutView="80" workbookViewId="0">
      <selection activeCell="B1" sqref="B1"/>
    </sheetView>
  </sheetViews>
  <sheetFormatPr defaultColWidth="9.109375" defaultRowHeight="13.2"/>
  <cols>
    <col min="1" max="4" width="4.6640625" style="331" customWidth="1"/>
    <col min="5" max="6" width="9.109375" style="331"/>
    <col min="7" max="7" width="1.6640625" style="331" customWidth="1"/>
    <col min="8" max="8" width="14.6640625" style="331" customWidth="1"/>
    <col min="9" max="9" width="1.6640625" style="331" customWidth="1"/>
    <col min="10" max="10" width="14.6640625" style="331" customWidth="1"/>
    <col min="11" max="11" width="1.6640625" style="331" customWidth="1"/>
    <col min="12" max="12" width="14.6640625" style="331" customWidth="1"/>
    <col min="13" max="13" width="1.6640625" style="331" customWidth="1"/>
    <col min="14" max="14" width="14.6640625" style="331" customWidth="1"/>
    <col min="15" max="16384" width="9.109375" style="331"/>
  </cols>
  <sheetData>
    <row r="1" spans="2:23">
      <c r="B1" s="1146"/>
      <c r="C1" s="1146"/>
      <c r="D1" s="1146"/>
      <c r="E1" s="1146"/>
      <c r="F1" s="1146"/>
      <c r="G1" s="1146"/>
      <c r="H1" s="1146"/>
      <c r="I1" s="1146"/>
      <c r="J1" s="1146"/>
      <c r="K1" s="1146"/>
      <c r="L1" s="1146"/>
      <c r="M1" s="1146"/>
      <c r="N1" s="1146"/>
    </row>
    <row r="2" spans="2:23">
      <c r="B2" s="1146"/>
      <c r="C2" s="1146"/>
      <c r="D2" s="1146"/>
      <c r="E2" s="1146"/>
      <c r="F2" s="1146"/>
      <c r="G2" s="1146"/>
      <c r="H2" s="1146"/>
      <c r="I2" s="1146"/>
      <c r="J2" s="1146"/>
      <c r="K2" s="1146"/>
      <c r="L2" s="1146"/>
      <c r="M2" s="1146"/>
      <c r="N2" s="1146"/>
    </row>
    <row r="3" spans="2:23" ht="20.399999999999999">
      <c r="B3" s="1870" t="s">
        <v>1129</v>
      </c>
      <c r="C3" s="1870"/>
      <c r="D3" s="1870"/>
      <c r="E3" s="1870"/>
      <c r="F3" s="1870"/>
      <c r="G3" s="1870"/>
      <c r="H3" s="1870"/>
      <c r="I3" s="1870"/>
      <c r="J3" s="1870"/>
      <c r="K3" s="1870"/>
      <c r="L3" s="1870"/>
      <c r="M3" s="1870"/>
      <c r="N3" s="1870"/>
    </row>
    <row r="4" spans="2:23" ht="15.6">
      <c r="B4" s="1928" t="s">
        <v>540</v>
      </c>
      <c r="C4" s="1928"/>
      <c r="D4" s="1928"/>
      <c r="E4" s="1928"/>
      <c r="F4" s="1928"/>
      <c r="G4" s="1928"/>
      <c r="H4" s="1928"/>
      <c r="I4" s="1928"/>
      <c r="J4" s="1928"/>
      <c r="K4" s="1928"/>
      <c r="L4" s="1928"/>
      <c r="M4" s="1928"/>
      <c r="N4" s="1928"/>
    </row>
    <row r="5" spans="2:23" ht="20.399999999999999">
      <c r="B5" s="1788" t="str">
        <f>UPPER('KEY INPUTS'!D56)&amp;" UTILITY  FUND"</f>
        <v xml:space="preserve"> UTILITY  FUND</v>
      </c>
      <c r="C5" s="1788"/>
      <c r="D5" s="1788"/>
      <c r="E5" s="1788"/>
      <c r="F5" s="1788"/>
      <c r="G5" s="1788"/>
      <c r="H5" s="1788"/>
      <c r="I5" s="1788"/>
      <c r="J5" s="1788"/>
      <c r="K5" s="1788"/>
      <c r="L5" s="1788"/>
      <c r="M5" s="1788"/>
      <c r="N5" s="1788"/>
    </row>
    <row r="6" spans="2:23">
      <c r="B6" s="1929" t="s">
        <v>283</v>
      </c>
      <c r="C6" s="1929"/>
      <c r="D6" s="1929"/>
      <c r="E6" s="1929"/>
      <c r="F6" s="1929"/>
      <c r="G6" s="1929"/>
      <c r="H6" s="1929"/>
      <c r="I6" s="1929"/>
      <c r="J6" s="1929"/>
      <c r="K6" s="1929"/>
      <c r="L6" s="1929"/>
      <c r="M6" s="1929"/>
      <c r="N6" s="1929"/>
    </row>
    <row r="7" spans="2:23">
      <c r="B7" s="1146"/>
      <c r="C7" s="1146"/>
      <c r="D7" s="1146"/>
      <c r="E7" s="1146"/>
      <c r="F7" s="1146"/>
      <c r="G7" s="1146"/>
      <c r="H7" s="1146"/>
      <c r="I7" s="1146"/>
      <c r="J7" s="1146"/>
      <c r="K7" s="1146"/>
      <c r="L7" s="1146"/>
      <c r="M7" s="1146"/>
      <c r="N7" s="1146"/>
    </row>
    <row r="8" spans="2:23">
      <c r="B8" s="1146"/>
      <c r="C8" s="1146"/>
      <c r="D8" s="1146"/>
      <c r="E8" s="1146"/>
      <c r="F8" s="1146"/>
      <c r="G8" s="1146"/>
      <c r="H8" s="1141" t="s">
        <v>533</v>
      </c>
      <c r="I8" s="1146"/>
      <c r="J8" s="1146"/>
      <c r="K8" s="1146"/>
      <c r="L8" s="1146"/>
      <c r="M8" s="1146"/>
      <c r="N8" s="1146"/>
    </row>
    <row r="9" spans="2:23">
      <c r="B9" s="1146"/>
      <c r="C9" s="1930" t="s">
        <v>553</v>
      </c>
      <c r="D9" s="1930"/>
      <c r="E9" s="1930"/>
      <c r="F9" s="1146"/>
      <c r="G9" s="1146"/>
      <c r="H9" s="1344" t="str">
        <f>'KEY INPUTS'!D45</f>
        <v>Dec. 31, 2018</v>
      </c>
      <c r="I9" s="1146"/>
      <c r="J9" s="1141" t="s">
        <v>554</v>
      </c>
      <c r="K9" s="1146"/>
      <c r="L9" s="1141" t="s">
        <v>533</v>
      </c>
      <c r="M9" s="1146"/>
      <c r="N9" s="1141" t="s">
        <v>671</v>
      </c>
    </row>
    <row r="10" spans="2:23">
      <c r="B10" s="1146"/>
      <c r="C10" s="1146"/>
      <c r="D10" s="1146"/>
      <c r="E10" s="1146"/>
      <c r="F10" s="1146"/>
      <c r="G10" s="1146"/>
      <c r="H10" s="1141" t="s">
        <v>552</v>
      </c>
      <c r="I10" s="1146"/>
      <c r="J10" s="1141">
        <f>'KEY INPUTS'!D34</f>
        <v>2019</v>
      </c>
      <c r="K10" s="1146"/>
      <c r="L10" s="1141" t="s">
        <v>555</v>
      </c>
      <c r="M10" s="1146"/>
      <c r="N10" s="1141" t="s">
        <v>556</v>
      </c>
    </row>
    <row r="11" spans="2:23">
      <c r="B11" s="1146"/>
      <c r="C11" s="1146"/>
      <c r="D11" s="1146"/>
      <c r="E11" s="1146"/>
      <c r="F11" s="1146"/>
      <c r="G11" s="1146"/>
      <c r="H11" s="1345" t="s">
        <v>551</v>
      </c>
      <c r="I11" s="1146"/>
      <c r="J11" s="1345" t="s">
        <v>676</v>
      </c>
      <c r="K11" s="1146"/>
      <c r="L11" s="1345">
        <f>'KEY INPUTS'!D34</f>
        <v>2019</v>
      </c>
      <c r="M11" s="1146"/>
      <c r="N11" s="1346" t="str">
        <f>'KEY INPUTS'!D46</f>
        <v>Dec. 31, 2019</v>
      </c>
      <c r="Q11" s="322"/>
      <c r="R11" s="322"/>
      <c r="S11" s="322"/>
      <c r="T11" s="322"/>
      <c r="U11" s="322"/>
      <c r="V11" s="322"/>
      <c r="W11" s="322"/>
    </row>
    <row r="12" spans="2:23">
      <c r="B12" s="1347" t="s">
        <v>384</v>
      </c>
      <c r="C12" s="1146" t="s">
        <v>1130</v>
      </c>
      <c r="D12" s="1146"/>
      <c r="E12" s="1146"/>
      <c r="F12" s="1146"/>
      <c r="G12" s="1146"/>
      <c r="H12" s="1146"/>
      <c r="I12" s="1146"/>
      <c r="J12" s="1146"/>
      <c r="K12" s="1146"/>
      <c r="L12" s="1146"/>
      <c r="M12" s="1146"/>
      <c r="N12" s="1146"/>
      <c r="Q12" s="322"/>
      <c r="R12" s="322"/>
      <c r="S12" s="322"/>
      <c r="T12" s="322"/>
      <c r="U12" s="322"/>
      <c r="V12" s="322"/>
      <c r="W12" s="322"/>
    </row>
    <row r="13" spans="2:23">
      <c r="B13" s="481"/>
      <c r="D13" s="331" t="s">
        <v>1131</v>
      </c>
      <c r="G13" s="331" t="s">
        <v>482</v>
      </c>
      <c r="H13" s="580"/>
      <c r="I13" s="331" t="s">
        <v>482</v>
      </c>
      <c r="J13" s="580"/>
      <c r="K13" s="331" t="s">
        <v>482</v>
      </c>
      <c r="L13" s="580"/>
      <c r="M13" s="331" t="s">
        <v>482</v>
      </c>
      <c r="N13" s="670">
        <f>+H13-J13+L13</f>
        <v>0</v>
      </c>
      <c r="Q13" s="377"/>
      <c r="R13" s="322"/>
      <c r="S13" s="322"/>
      <c r="T13" s="322"/>
      <c r="U13" s="322"/>
      <c r="V13" s="322"/>
      <c r="W13" s="322"/>
    </row>
    <row r="14" spans="2:23">
      <c r="B14" s="481"/>
      <c r="H14" s="287"/>
      <c r="J14" s="287"/>
      <c r="L14" s="287"/>
      <c r="Q14" s="322"/>
      <c r="R14" s="322"/>
      <c r="S14" s="322"/>
      <c r="T14" s="322"/>
      <c r="U14" s="322"/>
      <c r="V14" s="322"/>
      <c r="W14" s="322"/>
    </row>
    <row r="15" spans="2:23" ht="21" customHeight="1">
      <c r="B15" s="481" t="s">
        <v>385</v>
      </c>
      <c r="C15" s="669" t="s">
        <v>3406</v>
      </c>
      <c r="D15" s="668"/>
      <c r="E15" s="668"/>
      <c r="F15" s="668"/>
      <c r="G15" s="331" t="s">
        <v>482</v>
      </c>
      <c r="H15" s="580"/>
      <c r="I15" s="331" t="s">
        <v>482</v>
      </c>
      <c r="J15" s="580"/>
      <c r="K15" s="331" t="s">
        <v>482</v>
      </c>
      <c r="L15" s="580"/>
      <c r="M15" s="331" t="s">
        <v>482</v>
      </c>
      <c r="N15" s="1224">
        <f>+H15-J15+L15</f>
        <v>0</v>
      </c>
      <c r="Q15" s="322"/>
      <c r="R15" s="322"/>
      <c r="S15" s="322"/>
      <c r="T15" s="322"/>
      <c r="U15" s="322"/>
      <c r="V15" s="322"/>
      <c r="W15" s="322"/>
    </row>
    <row r="16" spans="2:23" ht="21" customHeight="1">
      <c r="B16" s="481" t="s">
        <v>386</v>
      </c>
      <c r="C16" s="668"/>
      <c r="D16" s="668"/>
      <c r="E16" s="668"/>
      <c r="F16" s="668"/>
      <c r="G16" s="331" t="s">
        <v>482</v>
      </c>
      <c r="H16" s="580"/>
      <c r="I16" s="331" t="s">
        <v>482</v>
      </c>
      <c r="J16" s="580"/>
      <c r="K16" s="331" t="s">
        <v>482</v>
      </c>
      <c r="L16" s="580"/>
      <c r="M16" s="331" t="s">
        <v>482</v>
      </c>
      <c r="N16" s="1224">
        <f>+H16-J16+L16</f>
        <v>0</v>
      </c>
      <c r="Q16" s="322"/>
      <c r="R16" s="322"/>
      <c r="S16" s="322"/>
      <c r="T16" s="322"/>
      <c r="U16" s="322"/>
      <c r="V16" s="322"/>
      <c r="W16" s="322"/>
    </row>
    <row r="17" spans="2:23" ht="21" customHeight="1">
      <c r="B17" s="481" t="s">
        <v>387</v>
      </c>
      <c r="C17" s="668"/>
      <c r="D17" s="668"/>
      <c r="E17" s="668"/>
      <c r="F17" s="668"/>
      <c r="G17" s="331" t="s">
        <v>482</v>
      </c>
      <c r="H17" s="580"/>
      <c r="I17" s="331" t="s">
        <v>482</v>
      </c>
      <c r="J17" s="580"/>
      <c r="K17" s="331" t="s">
        <v>482</v>
      </c>
      <c r="L17" s="580"/>
      <c r="M17" s="331" t="s">
        <v>482</v>
      </c>
      <c r="N17" s="1224">
        <f t="shared" ref="N17:N23" si="0">+H17-J17+L17</f>
        <v>0</v>
      </c>
      <c r="Q17" s="322"/>
      <c r="R17" s="322"/>
      <c r="S17" s="322"/>
      <c r="T17" s="322"/>
      <c r="U17" s="322"/>
      <c r="V17" s="322"/>
      <c r="W17" s="322"/>
    </row>
    <row r="18" spans="2:23" ht="21" customHeight="1">
      <c r="B18" s="481" t="s">
        <v>388</v>
      </c>
      <c r="C18" s="668"/>
      <c r="D18" s="668"/>
      <c r="E18" s="668"/>
      <c r="F18" s="668"/>
      <c r="G18" s="331" t="s">
        <v>482</v>
      </c>
      <c r="H18" s="580"/>
      <c r="I18" s="331" t="s">
        <v>482</v>
      </c>
      <c r="J18" s="580"/>
      <c r="K18" s="331" t="s">
        <v>482</v>
      </c>
      <c r="L18" s="580"/>
      <c r="M18" s="331" t="s">
        <v>482</v>
      </c>
      <c r="N18" s="1224">
        <f t="shared" si="0"/>
        <v>0</v>
      </c>
      <c r="Q18" s="322"/>
      <c r="R18" s="322"/>
      <c r="S18" s="322"/>
      <c r="T18" s="322"/>
      <c r="U18" s="322"/>
      <c r="V18" s="322"/>
      <c r="W18" s="322"/>
    </row>
    <row r="19" spans="2:23" ht="21" customHeight="1">
      <c r="B19" s="481"/>
      <c r="C19" s="1226" t="s">
        <v>3488</v>
      </c>
      <c r="D19" s="1226"/>
      <c r="E19" s="1226"/>
      <c r="F19" s="1226"/>
      <c r="G19" s="740" t="s">
        <v>482</v>
      </c>
      <c r="H19" s="580"/>
      <c r="I19" s="740" t="s">
        <v>482</v>
      </c>
      <c r="J19" s="580"/>
      <c r="K19" s="740" t="s">
        <v>482</v>
      </c>
      <c r="L19" s="580"/>
      <c r="M19" s="331" t="s">
        <v>482</v>
      </c>
      <c r="N19" s="1224">
        <f t="shared" si="0"/>
        <v>0</v>
      </c>
      <c r="Q19" s="322"/>
      <c r="R19" s="322"/>
      <c r="S19" s="322"/>
      <c r="T19" s="322"/>
      <c r="U19" s="322"/>
      <c r="V19" s="322"/>
      <c r="W19" s="322"/>
    </row>
    <row r="20" spans="2:23" ht="21" customHeight="1">
      <c r="B20" s="481"/>
      <c r="C20" s="1348" t="s">
        <v>3489</v>
      </c>
      <c r="D20" s="1226"/>
      <c r="E20" s="1226"/>
      <c r="F20" s="1226"/>
      <c r="G20" s="740" t="s">
        <v>482</v>
      </c>
      <c r="H20" s="1225">
        <f>H13+H15+H16+H17+H18+H19</f>
        <v>0</v>
      </c>
      <c r="I20" s="740" t="s">
        <v>482</v>
      </c>
      <c r="J20" s="1225">
        <f>J13+J15+J16+J17+J18+J19</f>
        <v>0</v>
      </c>
      <c r="K20" s="740" t="s">
        <v>482</v>
      </c>
      <c r="L20" s="1225">
        <f>L13+L15+L16+L17+L18+L19</f>
        <v>0</v>
      </c>
      <c r="M20" s="331" t="s">
        <v>482</v>
      </c>
      <c r="N20" s="1225">
        <f>N13+N15+N16+N17+N18+N19</f>
        <v>0</v>
      </c>
      <c r="Q20" s="322"/>
      <c r="R20" s="322"/>
      <c r="S20" s="322"/>
      <c r="T20" s="322"/>
      <c r="U20" s="322"/>
      <c r="V20" s="322"/>
      <c r="W20" s="322"/>
    </row>
    <row r="21" spans="2:23" ht="21" customHeight="1">
      <c r="B21" s="481" t="s">
        <v>389</v>
      </c>
      <c r="C21" s="668"/>
      <c r="D21" s="668"/>
      <c r="E21" s="668"/>
      <c r="F21" s="668"/>
      <c r="G21" s="331" t="s">
        <v>482</v>
      </c>
      <c r="H21" s="580"/>
      <c r="I21" s="331" t="s">
        <v>482</v>
      </c>
      <c r="J21" s="580"/>
      <c r="K21" s="331" t="s">
        <v>482</v>
      </c>
      <c r="L21" s="580"/>
      <c r="M21" s="331" t="s">
        <v>482</v>
      </c>
      <c r="N21" s="1224">
        <f t="shared" si="0"/>
        <v>0</v>
      </c>
      <c r="Q21" s="322"/>
      <c r="R21" s="322"/>
      <c r="S21" s="322"/>
      <c r="T21" s="322"/>
      <c r="U21" s="322"/>
      <c r="V21" s="322"/>
      <c r="W21" s="322"/>
    </row>
    <row r="22" spans="2:23" ht="21" customHeight="1">
      <c r="B22" s="481" t="s">
        <v>390</v>
      </c>
      <c r="C22" s="668"/>
      <c r="D22" s="668"/>
      <c r="E22" s="668"/>
      <c r="F22" s="668"/>
      <c r="G22" s="331" t="s">
        <v>482</v>
      </c>
      <c r="H22" s="580"/>
      <c r="I22" s="331" t="s">
        <v>482</v>
      </c>
      <c r="J22" s="580"/>
      <c r="K22" s="331" t="s">
        <v>482</v>
      </c>
      <c r="L22" s="580"/>
      <c r="M22" s="331" t="s">
        <v>482</v>
      </c>
      <c r="N22" s="1224">
        <f t="shared" si="0"/>
        <v>0</v>
      </c>
      <c r="Q22" s="322"/>
      <c r="R22" s="322"/>
      <c r="S22" s="322"/>
      <c r="T22" s="322"/>
      <c r="U22" s="322"/>
      <c r="V22" s="322"/>
      <c r="W22" s="322"/>
    </row>
    <row r="23" spans="2:23" ht="21" customHeight="1">
      <c r="B23" s="481"/>
      <c r="C23" s="1348" t="s">
        <v>3781</v>
      </c>
      <c r="D23" s="1226"/>
      <c r="E23" s="1226"/>
      <c r="F23" s="1226"/>
      <c r="G23" s="740" t="s">
        <v>482</v>
      </c>
      <c r="H23" s="1225">
        <f>H21+H22</f>
        <v>0</v>
      </c>
      <c r="I23" s="740" t="s">
        <v>482</v>
      </c>
      <c r="J23" s="1225">
        <f>J21+J22</f>
        <v>0</v>
      </c>
      <c r="K23" s="740" t="s">
        <v>482</v>
      </c>
      <c r="L23" s="1225">
        <f>L21+L22</f>
        <v>0</v>
      </c>
      <c r="M23" s="331" t="s">
        <v>482</v>
      </c>
      <c r="N23" s="1224">
        <f t="shared" si="0"/>
        <v>0</v>
      </c>
      <c r="Q23" s="322"/>
      <c r="R23" s="322"/>
      <c r="S23" s="322"/>
      <c r="T23" s="322"/>
      <c r="U23" s="322"/>
      <c r="V23" s="322"/>
      <c r="W23" s="322"/>
    </row>
    <row r="24" spans="2:23">
      <c r="B24" s="481"/>
      <c r="Q24" s="322"/>
      <c r="R24" s="322"/>
      <c r="S24" s="322"/>
      <c r="T24" s="322"/>
      <c r="U24" s="322"/>
      <c r="V24" s="322"/>
      <c r="W24" s="322"/>
    </row>
    <row r="25" spans="2:23">
      <c r="B25" s="481"/>
      <c r="C25" s="331" t="s">
        <v>1133</v>
      </c>
      <c r="Q25" s="322"/>
      <c r="R25" s="322"/>
      <c r="S25" s="322"/>
      <c r="T25" s="322"/>
      <c r="U25" s="322"/>
      <c r="V25" s="322"/>
      <c r="W25" s="322"/>
    </row>
    <row r="26" spans="2:23">
      <c r="B26" s="481"/>
      <c r="Q26" s="322"/>
      <c r="R26" s="322"/>
      <c r="S26" s="322"/>
      <c r="T26" s="322"/>
      <c r="U26" s="322"/>
      <c r="V26" s="322"/>
      <c r="W26" s="322"/>
    </row>
    <row r="27" spans="2:23">
      <c r="B27" s="481"/>
      <c r="Q27" s="322"/>
      <c r="R27" s="322"/>
      <c r="S27" s="322"/>
      <c r="T27" s="322"/>
      <c r="U27" s="322"/>
      <c r="V27" s="322"/>
      <c r="W27" s="322"/>
    </row>
    <row r="28" spans="2:23" ht="15.6">
      <c r="B28" s="1927" t="s">
        <v>530</v>
      </c>
      <c r="C28" s="1927"/>
      <c r="D28" s="1927"/>
      <c r="E28" s="1927"/>
      <c r="F28" s="1927"/>
      <c r="G28" s="1927"/>
      <c r="H28" s="1927"/>
      <c r="I28" s="1927"/>
      <c r="J28" s="1927"/>
      <c r="K28" s="1927"/>
      <c r="L28" s="1927"/>
      <c r="M28" s="1927"/>
      <c r="N28" s="1927"/>
    </row>
    <row r="29" spans="2:23" ht="15.6">
      <c r="B29" s="1927" t="s">
        <v>531</v>
      </c>
      <c r="C29" s="1927"/>
      <c r="D29" s="1927"/>
      <c r="E29" s="1927"/>
      <c r="F29" s="1927"/>
      <c r="G29" s="1927"/>
      <c r="H29" s="1927"/>
      <c r="I29" s="1927"/>
      <c r="J29" s="1927"/>
      <c r="K29" s="1927"/>
      <c r="L29" s="1927"/>
      <c r="M29" s="1927"/>
      <c r="N29" s="1927"/>
    </row>
    <row r="30" spans="2:23" ht="6.75" customHeight="1">
      <c r="B30" s="1349"/>
      <c r="C30" s="1349"/>
      <c r="D30" s="1349"/>
      <c r="E30" s="1349"/>
      <c r="F30" s="1349"/>
      <c r="G30" s="1349"/>
      <c r="H30" s="1349"/>
      <c r="I30" s="1349"/>
      <c r="J30" s="1349"/>
      <c r="K30" s="1349"/>
      <c r="L30" s="1349"/>
      <c r="M30" s="1349"/>
      <c r="N30" s="1349"/>
    </row>
    <row r="31" spans="2:23" ht="18" customHeight="1">
      <c r="B31" s="1347"/>
      <c r="C31" s="1146"/>
      <c r="D31" s="1931" t="s">
        <v>18</v>
      </c>
      <c r="E31" s="1931"/>
      <c r="F31" s="1350"/>
      <c r="G31" s="1931" t="s">
        <v>532</v>
      </c>
      <c r="H31" s="1931"/>
      <c r="I31" s="1931"/>
      <c r="J31" s="1931"/>
      <c r="K31" s="1931"/>
      <c r="L31" s="1931"/>
      <c r="M31" s="1350"/>
      <c r="N31" s="1351" t="s">
        <v>533</v>
      </c>
    </row>
    <row r="32" spans="2:23" ht="21" customHeight="1">
      <c r="B32" s="481"/>
      <c r="C32" s="481" t="s">
        <v>384</v>
      </c>
      <c r="D32" s="668"/>
      <c r="E32" s="668"/>
      <c r="G32" s="668"/>
      <c r="H32" s="668"/>
      <c r="I32" s="668"/>
      <c r="J32" s="668"/>
      <c r="K32" s="668"/>
      <c r="L32" s="668"/>
      <c r="M32" s="331" t="s">
        <v>482</v>
      </c>
      <c r="N32" s="376"/>
    </row>
    <row r="33" spans="2:14" ht="21" customHeight="1">
      <c r="B33" s="481"/>
      <c r="C33" s="481" t="s">
        <v>385</v>
      </c>
      <c r="D33" s="668"/>
      <c r="E33" s="668"/>
      <c r="G33" s="668"/>
      <c r="H33" s="668"/>
      <c r="I33" s="668"/>
      <c r="J33" s="668"/>
      <c r="K33" s="668"/>
      <c r="L33" s="668"/>
      <c r="M33" s="331" t="s">
        <v>482</v>
      </c>
      <c r="N33" s="376"/>
    </row>
    <row r="34" spans="2:14" ht="21" customHeight="1">
      <c r="B34" s="481"/>
      <c r="C34" s="481" t="s">
        <v>386</v>
      </c>
      <c r="D34" s="668"/>
      <c r="E34" s="668"/>
      <c r="G34" s="668"/>
      <c r="H34" s="668"/>
      <c r="I34" s="668"/>
      <c r="J34" s="668"/>
      <c r="K34" s="668"/>
      <c r="L34" s="668"/>
      <c r="M34" s="331" t="s">
        <v>482</v>
      </c>
      <c r="N34" s="376"/>
    </row>
    <row r="35" spans="2:14" ht="21" customHeight="1">
      <c r="B35" s="481"/>
      <c r="C35" s="481" t="s">
        <v>387</v>
      </c>
      <c r="D35" s="668"/>
      <c r="E35" s="668"/>
      <c r="G35" s="668"/>
      <c r="H35" s="668"/>
      <c r="I35" s="668"/>
      <c r="J35" s="668"/>
      <c r="K35" s="668"/>
      <c r="L35" s="668"/>
      <c r="M35" s="331" t="s">
        <v>482</v>
      </c>
      <c r="N35" s="376"/>
    </row>
    <row r="36" spans="2:14" ht="21" customHeight="1">
      <c r="B36" s="481"/>
      <c r="C36" s="481" t="s">
        <v>388</v>
      </c>
      <c r="D36" s="668"/>
      <c r="E36" s="668"/>
      <c r="G36" s="668"/>
      <c r="H36" s="668"/>
      <c r="I36" s="668"/>
      <c r="J36" s="668"/>
      <c r="K36" s="668"/>
      <c r="L36" s="668"/>
      <c r="M36" s="331" t="s">
        <v>482</v>
      </c>
      <c r="N36" s="376"/>
    </row>
    <row r="37" spans="2:14">
      <c r="B37" s="481"/>
    </row>
    <row r="38" spans="2:14">
      <c r="B38" s="481"/>
    </row>
    <row r="39" spans="2:14">
      <c r="B39" s="481"/>
    </row>
    <row r="40" spans="2:14" ht="15.6">
      <c r="B40" s="1927" t="s">
        <v>322</v>
      </c>
      <c r="C40" s="1927"/>
      <c r="D40" s="1927"/>
      <c r="E40" s="1927"/>
      <c r="F40" s="1927"/>
      <c r="G40" s="1927"/>
      <c r="H40" s="1927"/>
      <c r="I40" s="1927"/>
      <c r="J40" s="1927"/>
      <c r="K40" s="1927"/>
      <c r="L40" s="1927"/>
      <c r="M40" s="1927"/>
      <c r="N40" s="1927"/>
    </row>
    <row r="41" spans="2:14">
      <c r="B41" s="1347"/>
      <c r="C41" s="1146"/>
      <c r="D41" s="1146"/>
      <c r="E41" s="1146"/>
      <c r="F41" s="1146"/>
      <c r="G41" s="1146"/>
      <c r="H41" s="1146"/>
      <c r="I41" s="1146"/>
      <c r="J41" s="1146"/>
      <c r="K41" s="1146"/>
      <c r="L41" s="1146"/>
      <c r="M41" s="1146"/>
      <c r="N41" s="1146"/>
    </row>
    <row r="42" spans="2:14">
      <c r="B42" s="1347"/>
      <c r="C42" s="1146"/>
      <c r="D42" s="1146"/>
      <c r="E42" s="1146"/>
      <c r="F42" s="1146"/>
      <c r="G42" s="1146"/>
      <c r="H42" s="1146"/>
      <c r="I42" s="1146"/>
      <c r="J42" s="1146"/>
      <c r="K42" s="1146"/>
      <c r="L42" s="1146"/>
      <c r="M42" s="1146"/>
      <c r="N42" s="1141" t="s">
        <v>538</v>
      </c>
    </row>
    <row r="43" spans="2:14">
      <c r="B43" s="1347"/>
      <c r="C43" s="1146"/>
      <c r="D43" s="1146"/>
      <c r="E43" s="1146"/>
      <c r="F43" s="1146"/>
      <c r="G43" s="1146"/>
      <c r="H43" s="1146"/>
      <c r="I43" s="1146"/>
      <c r="J43" s="1146"/>
      <c r="K43" s="1146"/>
      <c r="L43" s="1146"/>
      <c r="M43" s="1146"/>
      <c r="N43" s="1141" t="s">
        <v>539</v>
      </c>
    </row>
    <row r="44" spans="2:14">
      <c r="B44" s="1347"/>
      <c r="C44" s="1146"/>
      <c r="D44" s="1930" t="s">
        <v>535</v>
      </c>
      <c r="E44" s="1930"/>
      <c r="F44" s="1146"/>
      <c r="G44" s="1146"/>
      <c r="H44" s="1930" t="s">
        <v>536</v>
      </c>
      <c r="I44" s="1930"/>
      <c r="J44" s="1345" t="s">
        <v>537</v>
      </c>
      <c r="K44" s="1146"/>
      <c r="L44" s="1345" t="s">
        <v>533</v>
      </c>
      <c r="M44" s="1146"/>
      <c r="N44" s="1345" t="str">
        <f>"Year "&amp;TEXT('KEY INPUTS'!D34,"0")&amp;""</f>
        <v>Year 2019</v>
      </c>
    </row>
    <row r="45" spans="2:14">
      <c r="B45" s="481"/>
      <c r="D45" s="667"/>
      <c r="E45" s="667"/>
      <c r="F45" s="667"/>
      <c r="G45" s="667"/>
      <c r="H45" s="667"/>
      <c r="I45" s="667"/>
      <c r="J45" s="667"/>
    </row>
    <row r="46" spans="2:14" ht="21" customHeight="1">
      <c r="B46" s="481"/>
      <c r="C46" s="481" t="s">
        <v>384</v>
      </c>
      <c r="D46" s="668"/>
      <c r="E46" s="668"/>
      <c r="F46" s="668"/>
      <c r="G46" s="668"/>
      <c r="H46" s="668"/>
      <c r="I46" s="668"/>
      <c r="J46" s="668"/>
      <c r="K46" s="331" t="s">
        <v>482</v>
      </c>
      <c r="L46" s="376"/>
      <c r="M46" s="667"/>
      <c r="N46" s="376"/>
    </row>
    <row r="47" spans="2:14" ht="21" customHeight="1">
      <c r="B47" s="481"/>
      <c r="C47" s="481" t="s">
        <v>385</v>
      </c>
      <c r="D47" s="668"/>
      <c r="E47" s="668"/>
      <c r="F47" s="668"/>
      <c r="G47" s="668"/>
      <c r="H47" s="668"/>
      <c r="I47" s="668"/>
      <c r="J47" s="668"/>
      <c r="K47" s="331" t="s">
        <v>482</v>
      </c>
      <c r="L47" s="376"/>
      <c r="M47" s="667"/>
      <c r="N47" s="376"/>
    </row>
    <row r="48" spans="2:14" ht="21" customHeight="1">
      <c r="B48" s="481"/>
      <c r="C48" s="481" t="s">
        <v>386</v>
      </c>
      <c r="D48" s="668"/>
      <c r="E48" s="668"/>
      <c r="F48" s="668"/>
      <c r="G48" s="668"/>
      <c r="H48" s="668"/>
      <c r="I48" s="668"/>
      <c r="J48" s="668"/>
      <c r="K48" s="331" t="s">
        <v>482</v>
      </c>
      <c r="L48" s="376"/>
      <c r="M48" s="667"/>
      <c r="N48" s="376"/>
    </row>
    <row r="49" spans="2:14" ht="21" customHeight="1">
      <c r="B49" s="481"/>
      <c r="C49" s="481" t="s">
        <v>387</v>
      </c>
      <c r="D49" s="668"/>
      <c r="E49" s="668"/>
      <c r="F49" s="668"/>
      <c r="G49" s="668"/>
      <c r="H49" s="668"/>
      <c r="I49" s="668"/>
      <c r="J49" s="668"/>
      <c r="K49" s="331" t="s">
        <v>482</v>
      </c>
      <c r="L49" s="376"/>
      <c r="M49" s="667"/>
      <c r="N49" s="376"/>
    </row>
    <row r="50" spans="2:14">
      <c r="B50" s="481"/>
    </row>
    <row r="51" spans="2:14">
      <c r="B51" s="481"/>
    </row>
    <row r="52" spans="2:14">
      <c r="B52" s="481"/>
    </row>
    <row r="53" spans="2:14">
      <c r="B53" s="481"/>
    </row>
    <row r="54" spans="2:14">
      <c r="B54" s="481"/>
    </row>
    <row r="55" spans="2:14">
      <c r="B55" s="481"/>
    </row>
    <row r="56" spans="2:14">
      <c r="B56" s="481"/>
    </row>
    <row r="57" spans="2:14">
      <c r="B57" s="481"/>
    </row>
    <row r="58" spans="2:14">
      <c r="B58" s="481"/>
    </row>
    <row r="59" spans="2:14">
      <c r="B59" s="481"/>
    </row>
    <row r="60" spans="2:14">
      <c r="B60" s="481"/>
    </row>
    <row r="61" spans="2:14" ht="13.8">
      <c r="B61" s="1813" t="s">
        <v>3443</v>
      </c>
      <c r="C61" s="1813"/>
      <c r="D61" s="1813"/>
      <c r="E61" s="1813"/>
      <c r="F61" s="1813"/>
      <c r="G61" s="1813"/>
      <c r="H61" s="1813"/>
      <c r="I61" s="1813"/>
      <c r="J61" s="1813"/>
      <c r="K61" s="1813"/>
      <c r="L61" s="1813"/>
      <c r="M61" s="1813"/>
      <c r="N61" s="1813"/>
    </row>
    <row r="62" spans="2:14">
      <c r="B62" s="481"/>
    </row>
    <row r="63" spans="2:14">
      <c r="B63" s="481"/>
    </row>
    <row r="64" spans="2:14">
      <c r="B64" s="481"/>
    </row>
    <row r="65" spans="2:2">
      <c r="B65" s="481"/>
    </row>
    <row r="66" spans="2:2">
      <c r="B66" s="481"/>
    </row>
    <row r="67" spans="2:2">
      <c r="B67" s="481"/>
    </row>
    <row r="68" spans="2:2">
      <c r="B68" s="481"/>
    </row>
    <row r="69" spans="2:2">
      <c r="B69" s="481"/>
    </row>
  </sheetData>
  <sheetProtection algorithmName="SHA-512" hashValue="bF+c2nVrv4uX3cH6bMSaRJP9+Mag0Q123NzKoNu1+HizC13/En2YmkjuvhjEGUmd7guKVEYDuV49daolLBM8GA==" saltValue="o89GAKQbfePyx9b2O1V+vg==" spinCount="100000" sheet="1" objects="1" scenarios="1"/>
  <customSheetViews>
    <customSheetView guid="{AC653BD0-46E3-42CB-9C76-32121A57B65A}" topLeftCell="A10">
      <selection activeCell="B1" sqref="B1"/>
      <pageMargins left="0.25" right="0.25" top="0.5" bottom="0.5" header="0.25" footer="0.25"/>
      <pageSetup paperSize="5" orientation="portrait" r:id="rId1"/>
      <headerFooter alignWithMargins="0"/>
    </customSheetView>
    <customSheetView guid="{B165479B-DC25-403C-9595-F1A88A4AA9A2}" topLeftCell="A10">
      <selection activeCell="B1" sqref="B1"/>
      <pageMargins left="0.25" right="0.25" top="0.5" bottom="0.5" header="0.25" footer="0.25"/>
      <pageSetup paperSize="5" orientation="portrait" r:id="rId2"/>
      <headerFooter alignWithMargins="0"/>
    </customSheetView>
    <customSheetView guid="{A64E4C9E-A3DA-4AAA-8607-F524450B9436}" topLeftCell="A10">
      <selection activeCell="B1" sqref="B1"/>
      <pageMargins left="0.25" right="0.25" top="0.5" bottom="0.5" header="0.25" footer="0.25"/>
      <pageSetup paperSize="5" orientation="portrait" r:id="rId3"/>
      <headerFooter alignWithMargins="0"/>
    </customSheetView>
    <customSheetView guid="{AB4FBD91-4533-473A-9702-569FF6402073}" topLeftCell="A10">
      <selection activeCell="B1" sqref="B1"/>
      <pageMargins left="0.25" right="0.25" top="0.5" bottom="0.5" header="0.25" footer="0.25"/>
      <pageSetup paperSize="5" orientation="portrait" r:id="rId4"/>
      <headerFooter alignWithMargins="0"/>
    </customSheetView>
  </customSheetViews>
  <mergeCells count="13">
    <mergeCell ref="B61:N61"/>
    <mergeCell ref="B29:N29"/>
    <mergeCell ref="D31:E31"/>
    <mergeCell ref="G31:L31"/>
    <mergeCell ref="B40:N40"/>
    <mergeCell ref="D44:E44"/>
    <mergeCell ref="H44:I44"/>
    <mergeCell ref="B28:N28"/>
    <mergeCell ref="B3:N3"/>
    <mergeCell ref="B4:N4"/>
    <mergeCell ref="B5:N5"/>
    <mergeCell ref="B6:N6"/>
    <mergeCell ref="C9:E9"/>
  </mergeCells>
  <pageMargins left="0.25" right="0.25" top="0.5" bottom="0.5" header="0.25" footer="0.25"/>
  <pageSetup paperSize="5" orientation="portrait" r:id="rId5"/>
  <headerFooter alignWithMargins="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Sheet257">
    <tabColor theme="7" tint="0.39997558519241921"/>
  </sheetPr>
  <dimension ref="B2:U50"/>
  <sheetViews>
    <sheetView zoomScaleNormal="100" zoomScaleSheetLayoutView="80" workbookViewId="0">
      <selection activeCell="B1" sqref="B1"/>
    </sheetView>
  </sheetViews>
  <sheetFormatPr defaultColWidth="8.88671875" defaultRowHeight="13.2"/>
  <cols>
    <col min="1" max="4" width="4.6640625" style="398" customWidth="1"/>
    <col min="5" max="5" width="17.88671875" style="398" customWidth="1"/>
    <col min="6" max="6" width="8.88671875" style="398"/>
    <col min="7" max="7" width="16.6640625" style="398" customWidth="1"/>
    <col min="8" max="8" width="1.6640625" style="398" customWidth="1"/>
    <col min="9" max="9" width="15.6640625" style="398" customWidth="1"/>
    <col min="10" max="10" width="1.6640625" style="398" customWidth="1"/>
    <col min="11" max="11" width="8.6640625" style="398" customWidth="1"/>
    <col min="12" max="12" width="7.6640625" style="398" customWidth="1"/>
    <col min="13" max="15" width="8.88671875" style="398"/>
    <col min="16" max="17" width="10.33203125" style="398" bestFit="1" customWidth="1"/>
    <col min="18" max="16384" width="8.88671875" style="398"/>
  </cols>
  <sheetData>
    <row r="2" spans="2:21" ht="20.399999999999999">
      <c r="B2" s="1788" t="s">
        <v>160</v>
      </c>
      <c r="C2" s="1788"/>
      <c r="D2" s="1788"/>
      <c r="E2" s="1788"/>
      <c r="F2" s="1788"/>
      <c r="G2" s="1788"/>
      <c r="H2" s="1788"/>
      <c r="I2" s="1788"/>
      <c r="J2" s="1788"/>
      <c r="K2" s="1788"/>
      <c r="L2" s="1788"/>
    </row>
    <row r="3" spans="2:21" ht="20.399999999999999">
      <c r="B3" s="1788" t="str">
        <f>"AND  "&amp;TEXT('KEY INPUTS'!D34+1,"0")&amp;"  DEBT  SERVICE  FOR  BONDS"</f>
        <v>AND  2020  DEBT  SERVICE  FOR  BONDS</v>
      </c>
      <c r="C3" s="1788"/>
      <c r="D3" s="1788"/>
      <c r="E3" s="1788"/>
      <c r="F3" s="1788"/>
      <c r="G3" s="1788"/>
      <c r="H3" s="1788"/>
      <c r="I3" s="1788"/>
      <c r="J3" s="1788"/>
      <c r="K3" s="1788"/>
      <c r="L3" s="1788"/>
    </row>
    <row r="4" spans="2:21" ht="15.6">
      <c r="B4" s="1761" t="str">
        <f>UPPER('KEY INPUTS'!D56)&amp;" UTILITY  ASSESSMENT  BONDS"</f>
        <v xml:space="preserve"> UTILITY  ASSESSMENT  BONDS</v>
      </c>
      <c r="C4" s="1761"/>
      <c r="D4" s="1761"/>
      <c r="E4" s="1761"/>
      <c r="F4" s="1761"/>
      <c r="G4" s="1761"/>
      <c r="H4" s="1761"/>
      <c r="I4" s="1761"/>
      <c r="J4" s="1761"/>
      <c r="K4" s="1761"/>
      <c r="L4" s="1761"/>
    </row>
    <row r="5" spans="2:21" ht="9.75" customHeight="1" thickBot="1">
      <c r="B5" s="1379"/>
      <c r="C5" s="1379"/>
      <c r="D5" s="1379"/>
      <c r="E5" s="1379"/>
      <c r="F5" s="1379"/>
      <c r="G5" s="1379"/>
      <c r="H5" s="1379"/>
      <c r="I5" s="1379"/>
      <c r="J5" s="1379"/>
      <c r="K5" s="1379"/>
      <c r="L5" s="1379"/>
    </row>
    <row r="6" spans="2:21" ht="27.75" customHeight="1" thickTop="1" thickBot="1">
      <c r="B6" s="1333"/>
      <c r="C6" s="1333"/>
      <c r="D6" s="1333"/>
      <c r="E6" s="1333"/>
      <c r="F6" s="1333"/>
      <c r="G6" s="1115" t="s">
        <v>125</v>
      </c>
      <c r="H6" s="1932" t="s">
        <v>126</v>
      </c>
      <c r="I6" s="1763"/>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70"/>
      <c r="D7" s="1170"/>
      <c r="E7" s="1170"/>
      <c r="F7" s="1170"/>
      <c r="G7" s="1171" t="s">
        <v>787</v>
      </c>
      <c r="H7" s="1705"/>
      <c r="I7" s="1706"/>
      <c r="K7" s="1114"/>
      <c r="L7" s="1114"/>
      <c r="O7" s="322"/>
      <c r="P7" s="322"/>
      <c r="Q7" s="322"/>
      <c r="R7" s="322"/>
      <c r="S7" s="322"/>
      <c r="T7" s="322"/>
      <c r="U7" s="322"/>
    </row>
    <row r="8" spans="2:21" ht="21" customHeight="1">
      <c r="B8" s="690" t="s">
        <v>113</v>
      </c>
      <c r="C8" s="690"/>
      <c r="D8" s="690"/>
      <c r="E8" s="690"/>
      <c r="F8" s="690"/>
      <c r="G8" s="1174" t="s">
        <v>787</v>
      </c>
      <c r="H8" s="1679"/>
      <c r="I8" s="1680"/>
      <c r="K8" s="1114"/>
      <c r="L8" s="1114"/>
      <c r="O8" s="377"/>
      <c r="P8" s="322"/>
      <c r="Q8" s="322"/>
      <c r="R8" s="322"/>
      <c r="S8" s="322"/>
      <c r="T8" s="322"/>
      <c r="U8" s="322"/>
    </row>
    <row r="9" spans="2:21" ht="21" customHeight="1">
      <c r="B9" s="690"/>
      <c r="C9" s="690"/>
      <c r="D9" s="690"/>
      <c r="E9" s="690"/>
      <c r="F9" s="690"/>
      <c r="G9" s="1174"/>
      <c r="H9" s="1380"/>
      <c r="I9" s="1229"/>
      <c r="K9" s="1114"/>
      <c r="L9" s="1114"/>
      <c r="O9" s="322"/>
      <c r="P9" s="322"/>
      <c r="Q9" s="322"/>
      <c r="R9" s="322"/>
      <c r="S9" s="322"/>
      <c r="T9" s="322"/>
      <c r="U9" s="322"/>
    </row>
    <row r="10" spans="2:21" ht="21" customHeight="1">
      <c r="B10" s="690" t="s">
        <v>326</v>
      </c>
      <c r="C10" s="690"/>
      <c r="D10" s="690"/>
      <c r="E10" s="690"/>
      <c r="F10" s="690"/>
      <c r="G10" s="601"/>
      <c r="H10" s="1830" t="s">
        <v>787</v>
      </c>
      <c r="I10" s="1831"/>
      <c r="K10" s="1114"/>
      <c r="L10" s="1114"/>
      <c r="O10" s="322"/>
      <c r="P10" s="322"/>
      <c r="Q10" s="322"/>
      <c r="R10" s="322"/>
      <c r="S10" s="322"/>
      <c r="T10" s="322"/>
      <c r="U10" s="322"/>
    </row>
    <row r="11" spans="2:21" ht="21" customHeight="1" thickBot="1">
      <c r="B11" s="690" t="str">
        <f>'KEY INPUTS'!D28</f>
        <v>Outstanding - December 31, 2019</v>
      </c>
      <c r="C11" s="690"/>
      <c r="D11" s="690"/>
      <c r="E11" s="690"/>
      <c r="F11" s="690"/>
      <c r="G11" s="1129">
        <f>+H7+H8-G10</f>
        <v>0</v>
      </c>
      <c r="H11" s="1832" t="s">
        <v>787</v>
      </c>
      <c r="I11" s="1833"/>
      <c r="K11" s="1114"/>
      <c r="L11" s="1114"/>
      <c r="O11" s="322"/>
      <c r="P11" s="322"/>
      <c r="Q11" s="322"/>
      <c r="R11" s="322"/>
      <c r="S11" s="322"/>
      <c r="T11" s="322"/>
      <c r="U11" s="322"/>
    </row>
    <row r="12" spans="2:21" ht="21" customHeight="1" thickBot="1">
      <c r="B12" s="1114"/>
      <c r="C12" s="1114"/>
      <c r="D12" s="1114"/>
      <c r="E12" s="1114"/>
      <c r="F12" s="1114"/>
      <c r="G12" s="1131">
        <f>SUM(G7:G11)</f>
        <v>0</v>
      </c>
      <c r="H12" s="1837">
        <f>SUM(H7:I11)</f>
        <v>0</v>
      </c>
      <c r="I12" s="1838"/>
      <c r="K12" s="1114"/>
      <c r="L12" s="1114"/>
      <c r="O12" s="322"/>
      <c r="P12" s="322"/>
      <c r="Q12" s="322"/>
      <c r="R12" s="322"/>
      <c r="S12" s="322"/>
      <c r="T12" s="322"/>
      <c r="U12" s="322"/>
    </row>
    <row r="13" spans="2:21" ht="21" customHeight="1" thickTop="1">
      <c r="B13" s="1382" t="str">
        <f>TEXT('KEY INPUTS'!D34+1,"0")&amp;" Bond Maturities - Assessment Bonds"</f>
        <v>2020 Bond Maturities - Assessment Bonds</v>
      </c>
      <c r="C13" s="1128"/>
      <c r="D13" s="1128"/>
      <c r="E13" s="1128"/>
      <c r="F13" s="1128"/>
      <c r="G13" s="1128"/>
      <c r="H13" s="1128"/>
      <c r="I13" s="1381"/>
      <c r="J13" s="451" t="s">
        <v>482</v>
      </c>
      <c r="K13" s="1714"/>
      <c r="L13" s="1714"/>
      <c r="O13" s="322"/>
      <c r="P13" s="322"/>
      <c r="Q13" s="322"/>
      <c r="R13" s="322"/>
      <c r="S13" s="322"/>
      <c r="T13" s="322"/>
      <c r="U13" s="322"/>
    </row>
    <row r="14" spans="2:21" ht="21" customHeight="1" thickBot="1">
      <c r="B14" s="1383" t="str">
        <f>TEXT('KEY INPUTS'!D34+1,"0")&amp;" Interest on Bonds"</f>
        <v>2020 Interest on Bonds</v>
      </c>
      <c r="C14" s="1232"/>
      <c r="D14" s="1232"/>
      <c r="E14" s="1232"/>
      <c r="F14" s="1232"/>
      <c r="G14" s="1257"/>
      <c r="H14" s="488" t="s">
        <v>482</v>
      </c>
      <c r="I14" s="608"/>
      <c r="K14" s="1114"/>
      <c r="L14" s="1114"/>
      <c r="O14" s="322"/>
      <c r="P14" s="322"/>
      <c r="Q14" s="322"/>
      <c r="R14" s="322"/>
      <c r="S14" s="322"/>
      <c r="T14" s="322"/>
      <c r="U14" s="322"/>
    </row>
    <row r="15" spans="2:21" ht="16.5" customHeight="1" thickTop="1">
      <c r="B15" s="1951"/>
      <c r="C15" s="1951"/>
      <c r="D15" s="1951"/>
      <c r="E15" s="1951"/>
      <c r="F15" s="1951"/>
      <c r="G15" s="1951"/>
      <c r="H15" s="1951"/>
      <c r="I15" s="1952"/>
      <c r="J15" s="1114"/>
      <c r="K15" s="1114"/>
      <c r="L15" s="1114"/>
      <c r="O15" s="322"/>
      <c r="P15" s="322"/>
      <c r="Q15" s="322"/>
      <c r="R15" s="322"/>
      <c r="S15" s="322"/>
      <c r="T15" s="322"/>
      <c r="U15" s="322"/>
    </row>
    <row r="16" spans="2:21" ht="26.25" customHeight="1" thickBot="1">
      <c r="B16" s="1935" t="str">
        <f>UPPER('KEY INPUTS'!D56) &amp;" UTILITY  CAPITAL  BONDS"</f>
        <v xml:space="preserve"> UTILITY  CAPITAL  BONDS</v>
      </c>
      <c r="C16" s="1935"/>
      <c r="D16" s="1935"/>
      <c r="E16" s="1935"/>
      <c r="F16" s="1935"/>
      <c r="G16" s="1935"/>
      <c r="H16" s="1935"/>
      <c r="I16" s="1936"/>
      <c r="J16" s="1114"/>
      <c r="K16" s="1114"/>
      <c r="L16" s="1114"/>
      <c r="O16" s="322"/>
      <c r="P16" s="322"/>
      <c r="Q16" s="322"/>
      <c r="R16" s="322"/>
      <c r="S16" s="322"/>
      <c r="T16" s="322"/>
      <c r="U16" s="322"/>
    </row>
    <row r="17" spans="2:21" ht="21" customHeight="1" thickTop="1">
      <c r="B17" s="1211" t="str">
        <f>'KEY INPUTS'!D27</f>
        <v>Outstanding - January 1, 2019</v>
      </c>
      <c r="C17" s="1170"/>
      <c r="D17" s="1170"/>
      <c r="E17" s="1170"/>
      <c r="F17" s="1170"/>
      <c r="G17" s="1171" t="s">
        <v>787</v>
      </c>
      <c r="H17" s="1705"/>
      <c r="I17" s="1706"/>
      <c r="K17" s="1114"/>
      <c r="L17" s="1114"/>
      <c r="O17" s="322"/>
      <c r="P17" s="322"/>
      <c r="Q17" s="322"/>
      <c r="R17" s="322"/>
      <c r="S17" s="322"/>
      <c r="T17" s="322"/>
      <c r="U17" s="322"/>
    </row>
    <row r="18" spans="2:21" ht="21" customHeight="1">
      <c r="B18" s="690" t="s">
        <v>113</v>
      </c>
      <c r="C18" s="690"/>
      <c r="D18" s="690"/>
      <c r="E18" s="690"/>
      <c r="F18" s="690"/>
      <c r="G18" s="1174" t="s">
        <v>787</v>
      </c>
      <c r="H18" s="1679"/>
      <c r="I18" s="1680"/>
      <c r="K18" s="1114"/>
      <c r="L18" s="1114"/>
      <c r="O18" s="322"/>
      <c r="P18" s="322"/>
      <c r="Q18" s="322"/>
      <c r="R18" s="322"/>
      <c r="S18" s="322"/>
      <c r="T18" s="322"/>
      <c r="U18" s="322"/>
    </row>
    <row r="19" spans="2:21" ht="21" customHeight="1">
      <c r="B19" s="690" t="s">
        <v>326</v>
      </c>
      <c r="C19" s="690"/>
      <c r="D19" s="690"/>
      <c r="E19" s="690"/>
      <c r="F19" s="690"/>
      <c r="G19" s="601"/>
      <c r="H19" s="1830" t="s">
        <v>787</v>
      </c>
      <c r="I19" s="1831"/>
      <c r="K19" s="1114"/>
      <c r="L19" s="1114"/>
      <c r="O19" s="322"/>
      <c r="P19" s="322"/>
      <c r="Q19" s="322"/>
      <c r="R19" s="322"/>
      <c r="S19" s="322"/>
      <c r="T19" s="322"/>
      <c r="U19" s="322"/>
    </row>
    <row r="20" spans="2:21" ht="21" customHeight="1">
      <c r="B20" s="690"/>
      <c r="C20" s="690"/>
      <c r="D20" s="690"/>
      <c r="E20" s="690"/>
      <c r="F20" s="690"/>
      <c r="G20" s="689"/>
      <c r="H20" s="1839"/>
      <c r="I20" s="1840"/>
      <c r="K20" s="1114"/>
      <c r="L20" s="1114"/>
      <c r="O20" s="322"/>
      <c r="P20" s="322"/>
      <c r="Q20" s="322"/>
      <c r="R20" s="322"/>
      <c r="S20" s="322"/>
      <c r="T20" s="322"/>
      <c r="U20" s="322"/>
    </row>
    <row r="21" spans="2:21" ht="21" customHeight="1">
      <c r="B21" s="690"/>
      <c r="C21" s="690"/>
      <c r="D21" s="690"/>
      <c r="E21" s="690"/>
      <c r="F21" s="690"/>
      <c r="G21" s="689"/>
      <c r="H21" s="1839"/>
      <c r="I21" s="1840"/>
      <c r="K21" s="1114"/>
      <c r="L21" s="1114"/>
      <c r="O21" s="322"/>
      <c r="P21" s="322"/>
      <c r="Q21" s="322"/>
      <c r="R21" s="322"/>
      <c r="S21" s="322"/>
      <c r="T21" s="322"/>
      <c r="U21" s="322"/>
    </row>
    <row r="22" spans="2:21" ht="21" customHeight="1" thickBot="1">
      <c r="B22" s="690" t="str">
        <f>'KEY INPUTS'!D28</f>
        <v>Outstanding - December 31, 2019</v>
      </c>
      <c r="C22" s="690"/>
      <c r="D22" s="690"/>
      <c r="E22" s="690"/>
      <c r="F22" s="690"/>
      <c r="G22" s="1129">
        <f>+H17+H18-G19-G20-G21+H20+H21</f>
        <v>0</v>
      </c>
      <c r="H22" s="1832" t="s">
        <v>787</v>
      </c>
      <c r="I22" s="1833"/>
      <c r="K22" s="1114"/>
      <c r="L22" s="1114"/>
      <c r="O22" s="322"/>
      <c r="P22" s="322"/>
      <c r="Q22" s="322"/>
      <c r="R22" s="322"/>
      <c r="S22" s="322"/>
      <c r="T22" s="322"/>
      <c r="U22" s="322"/>
    </row>
    <row r="23" spans="2:21" ht="21" customHeight="1" thickBot="1">
      <c r="B23" s="1114"/>
      <c r="C23" s="1114"/>
      <c r="D23" s="1114"/>
      <c r="E23" s="1114"/>
      <c r="F23" s="1114"/>
      <c r="G23" s="1131">
        <f>SUM(G17:G22)</f>
        <v>0</v>
      </c>
      <c r="H23" s="1837">
        <f>SUM(H17:I22)</f>
        <v>0</v>
      </c>
      <c r="I23" s="1838"/>
      <c r="K23" s="1114"/>
      <c r="L23" s="1114"/>
    </row>
    <row r="24" spans="2:21" ht="21" customHeight="1" thickTop="1">
      <c r="B24" s="1382" t="str">
        <f>TEXT('KEY INPUTS'!D34+1,"0")&amp;" Bond Maturities - Capital Bonds"</f>
        <v>2020 Bond Maturities - Capital Bonds</v>
      </c>
      <c r="C24" s="1128"/>
      <c r="D24" s="1128"/>
      <c r="E24" s="1128"/>
      <c r="F24" s="1128"/>
      <c r="G24" s="1128"/>
      <c r="H24" s="1128"/>
      <c r="I24" s="1384"/>
      <c r="J24" s="451" t="s">
        <v>482</v>
      </c>
      <c r="K24" s="1714"/>
      <c r="L24" s="1714"/>
    </row>
    <row r="25" spans="2:21" ht="21" customHeight="1" thickBot="1">
      <c r="B25" s="1383" t="str">
        <f>TEXT('KEY INPUTS'!D34+1,"0")&amp;" Interest on Bonds"</f>
        <v>2020 Interest on Bonds</v>
      </c>
      <c r="C25" s="1232"/>
      <c r="D25" s="1232"/>
      <c r="E25" s="1232"/>
      <c r="F25" s="1232"/>
      <c r="G25" s="1257"/>
      <c r="H25" s="488" t="s">
        <v>482</v>
      </c>
      <c r="I25" s="608"/>
      <c r="J25" s="489"/>
      <c r="K25" s="1232"/>
      <c r="L25" s="1383" t="s">
        <v>3406</v>
      </c>
    </row>
    <row r="26" spans="2:21" ht="21" customHeight="1" thickTop="1">
      <c r="B26" s="1114"/>
      <c r="C26" s="1114"/>
      <c r="D26" s="1114"/>
      <c r="E26" s="1114"/>
      <c r="F26" s="1114"/>
      <c r="G26" s="1114"/>
      <c r="H26" s="1114"/>
      <c r="I26" s="1114"/>
      <c r="J26" s="1114"/>
      <c r="K26" s="1114"/>
      <c r="L26" s="1114"/>
    </row>
    <row r="27" spans="2:21" ht="19.5" customHeight="1" thickBot="1">
      <c r="B27" s="1935" t="str">
        <f>"INTEREST  ON  BONDS  -  "&amp;UPPER('KEY INPUTS'!D56)&amp;"  UTILITY  BUDGET"</f>
        <v>INTEREST  ON  BONDS  -    UTILITY  BUDGET</v>
      </c>
      <c r="C27" s="1935"/>
      <c r="D27" s="1935"/>
      <c r="E27" s="1935"/>
      <c r="F27" s="1935"/>
      <c r="G27" s="1935"/>
      <c r="H27" s="1935"/>
      <c r="I27" s="1935"/>
      <c r="J27" s="1935"/>
      <c r="K27" s="1935"/>
      <c r="L27" s="1935"/>
    </row>
    <row r="28" spans="2:21" ht="21" customHeight="1" thickTop="1">
      <c r="B28" s="1394" t="str">
        <f>TEXT('KEY INPUTS'!D34+1,"0")&amp;" Interest on Bonds (*Items)"</f>
        <v>2020 Interest on Bonds (*Items)</v>
      </c>
      <c r="C28" s="1170"/>
      <c r="D28" s="1170"/>
      <c r="E28" s="1170"/>
      <c r="F28" s="1170"/>
      <c r="G28" s="1170"/>
      <c r="H28" s="457" t="s">
        <v>482</v>
      </c>
      <c r="I28" s="1230">
        <f>+I14+I25</f>
        <v>0</v>
      </c>
      <c r="K28" s="1114"/>
      <c r="L28" s="1114"/>
      <c r="O28" s="464"/>
      <c r="P28" s="464"/>
      <c r="Q28" s="464"/>
      <c r="R28" s="464"/>
    </row>
    <row r="29" spans="2:21" ht="21" customHeight="1">
      <c r="B29" s="914" t="str">
        <f>"Less: Interest Accrued to "&amp;TEXT('KEY INPUTS'!D29,"mm/dd/yyy")&amp;" (Trial Balance)"</f>
        <v>Less: Interest Accrued to 12/31/2019 (Trial Balance)</v>
      </c>
      <c r="C29" s="690"/>
      <c r="D29" s="690"/>
      <c r="E29" s="690"/>
      <c r="F29" s="690"/>
      <c r="G29" s="690"/>
      <c r="H29" s="402" t="s">
        <v>482</v>
      </c>
      <c r="I29" s="672"/>
      <c r="K29" s="1114"/>
      <c r="L29" s="1114"/>
      <c r="O29" s="464"/>
      <c r="P29" s="464"/>
      <c r="Q29" s="464"/>
      <c r="R29" s="464"/>
    </row>
    <row r="30" spans="2:21" ht="21" customHeight="1">
      <c r="B30" s="690"/>
      <c r="C30" s="690" t="s">
        <v>421</v>
      </c>
      <c r="D30" s="690"/>
      <c r="E30" s="690"/>
      <c r="F30" s="690"/>
      <c r="G30" s="690"/>
      <c r="H30" s="402" t="s">
        <v>482</v>
      </c>
      <c r="I30" s="1231">
        <f>+I28-I29</f>
        <v>0</v>
      </c>
      <c r="K30" s="1114"/>
      <c r="L30" s="1114"/>
      <c r="O30" s="464"/>
      <c r="P30" s="464"/>
      <c r="Q30" s="464"/>
      <c r="R30" s="464"/>
    </row>
    <row r="31" spans="2:21" ht="21" customHeight="1">
      <c r="B31" s="914" t="str">
        <f>"Add: Interest to be Accrued as of "&amp;TEXT('KEY INPUTS'!D30,"mm/dd/yyyy")&amp;""</f>
        <v>Add: Interest to be Accrued as of 12/31/2020</v>
      </c>
      <c r="C31" s="690"/>
      <c r="D31" s="690"/>
      <c r="E31" s="690"/>
      <c r="F31" s="690"/>
      <c r="G31" s="690"/>
      <c r="H31" s="402" t="s">
        <v>482</v>
      </c>
      <c r="I31" s="672"/>
      <c r="K31" s="1114"/>
      <c r="L31" s="1114"/>
      <c r="O31" s="464"/>
      <c r="P31" s="464"/>
      <c r="Q31" s="464"/>
      <c r="R31" s="464"/>
    </row>
    <row r="32" spans="2:21" ht="21" customHeight="1">
      <c r="B32" s="914" t="str">
        <f>"Required Appropriation "&amp;TEXT('KEY INPUTS'!D34+1,"0")</f>
        <v>Required Appropriation 2020</v>
      </c>
      <c r="C32" s="690"/>
      <c r="D32" s="690"/>
      <c r="E32" s="690"/>
      <c r="F32" s="690"/>
      <c r="G32" s="690"/>
      <c r="H32" s="402"/>
      <c r="I32" s="1414"/>
      <c r="J32" s="491" t="s">
        <v>482</v>
      </c>
      <c r="K32" s="1824">
        <f>+I30+I31</f>
        <v>0</v>
      </c>
      <c r="L32" s="1825"/>
      <c r="O32" s="464"/>
      <c r="P32" s="464"/>
      <c r="Q32" s="464"/>
      <c r="R32" s="464"/>
    </row>
    <row r="33" spans="2:12" ht="13.5" customHeight="1">
      <c r="B33" s="1192"/>
      <c r="C33" s="1192"/>
      <c r="D33" s="1192"/>
      <c r="E33" s="1192"/>
      <c r="F33" s="1192"/>
      <c r="G33" s="1192"/>
      <c r="H33" s="1192"/>
      <c r="I33" s="1192"/>
      <c r="J33" s="1192"/>
      <c r="K33" s="1427"/>
      <c r="L33" s="1298"/>
    </row>
    <row r="34" spans="2:12" ht="13.5" customHeight="1">
      <c r="B34" s="1192"/>
      <c r="C34" s="1192"/>
      <c r="D34" s="1192"/>
      <c r="E34" s="1192"/>
      <c r="F34" s="1192"/>
      <c r="G34" s="1192"/>
      <c r="H34" s="1192"/>
      <c r="I34" s="1192"/>
      <c r="J34" s="1192"/>
      <c r="K34" s="1427"/>
      <c r="L34" s="1298"/>
    </row>
    <row r="35" spans="2:12" ht="21" customHeight="1" thickBot="1">
      <c r="B35" s="1938" t="str">
        <f>"LIST  OF  BONDS  ISSUED  DURING  "&amp;TEXT('KEY INPUTS'!D34,"0")&amp;""</f>
        <v>LIST  OF  BONDS  ISSUED  DURING  2019</v>
      </c>
      <c r="C35" s="1938"/>
      <c r="D35" s="1938"/>
      <c r="E35" s="1938"/>
      <c r="F35" s="1938"/>
      <c r="G35" s="1938"/>
      <c r="H35" s="1938"/>
      <c r="I35" s="1938"/>
      <c r="J35" s="1938"/>
      <c r="K35" s="1938"/>
      <c r="L35" s="1938"/>
    </row>
    <row r="36" spans="2:12" ht="27" customHeight="1" thickTop="1" thickBot="1">
      <c r="B36" s="1762" t="s">
        <v>532</v>
      </c>
      <c r="C36" s="1762"/>
      <c r="D36" s="1762"/>
      <c r="E36" s="1762"/>
      <c r="F36" s="1762"/>
      <c r="G36" s="1397" t="str">
        <f>TEXT('KEY INPUTS'!D34,"0")&amp;" Maturity"</f>
        <v>2019 Maturity</v>
      </c>
      <c r="H36" s="1932" t="s">
        <v>109</v>
      </c>
      <c r="I36" s="1763"/>
      <c r="J36" s="1953" t="s">
        <v>107</v>
      </c>
      <c r="K36" s="1954"/>
      <c r="L36" s="1413" t="s">
        <v>108</v>
      </c>
    </row>
    <row r="37" spans="2:12" ht="21" customHeight="1" thickTop="1">
      <c r="B37" s="673"/>
      <c r="C37" s="673"/>
      <c r="D37" s="673"/>
      <c r="E37" s="673"/>
      <c r="F37" s="673"/>
      <c r="G37" s="605"/>
      <c r="H37" s="1705"/>
      <c r="I37" s="1706"/>
      <c r="J37" s="1828"/>
      <c r="K37" s="1829"/>
      <c r="L37" s="917"/>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232"/>
      <c r="C41" s="1232"/>
      <c r="D41" s="1232"/>
      <c r="E41" s="1232"/>
      <c r="F41" s="1385"/>
      <c r="G41" s="1131">
        <f>SUM(G37:G40)</f>
        <v>0</v>
      </c>
      <c r="H41" s="1820">
        <f>SUM(H37:I40)</f>
        <v>0</v>
      </c>
      <c r="I41" s="1821"/>
      <c r="J41" s="1386"/>
      <c r="K41" s="1232"/>
      <c r="L41" s="1233"/>
    </row>
    <row r="42" spans="2:12" ht="13.8" thickTop="1">
      <c r="G42" s="782"/>
      <c r="H42" s="782"/>
      <c r="I42" s="782"/>
    </row>
    <row r="50" spans="2:12" ht="13.8">
      <c r="B50" s="1950" t="s">
        <v>3444</v>
      </c>
      <c r="C50" s="1950"/>
      <c r="D50" s="1950"/>
      <c r="E50" s="1950"/>
      <c r="F50" s="1950"/>
      <c r="G50" s="1950"/>
      <c r="H50" s="1950"/>
      <c r="I50" s="1950"/>
      <c r="J50" s="1950"/>
      <c r="K50" s="1950"/>
      <c r="L50" s="1950"/>
    </row>
  </sheetData>
  <sheetProtection algorithmName="SHA-512" hashValue="HRLMHCsrDAhMu0B+npbtfj3/7AMCWdHogH5WOPPlZoXwmaJLVqkNgHXIcPbmzDpXLuDaCB+wniG66ueHhcGJfg==" saltValue="CtxKyfenBWmcrBWne2o+a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0:L50"/>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codeName="Sheet258">
    <tabColor theme="7" tint="0.39997558519241921"/>
  </sheetPr>
  <dimension ref="B2: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2" spans="2:21" ht="20.399999999999999">
      <c r="B2" s="1870" t="s">
        <v>606</v>
      </c>
      <c r="C2" s="1870"/>
      <c r="D2" s="1870"/>
      <c r="E2" s="1870"/>
      <c r="F2" s="1870"/>
      <c r="G2" s="1870"/>
      <c r="H2" s="1870"/>
      <c r="I2" s="1870"/>
      <c r="J2" s="1870"/>
      <c r="K2" s="1870"/>
      <c r="L2" s="1870"/>
    </row>
    <row r="3" spans="2:21" ht="20.399999999999999">
      <c r="B3" s="1788" t="str">
        <f>"AND  "&amp;TEXT('KEY INPUTS'!D34+1,"0")&amp;"  DEBT  SERVICE  FOR  LOANS"</f>
        <v>AND  2020  DEBT  SERVICE  FOR  LOANS</v>
      </c>
      <c r="C3" s="1788"/>
      <c r="D3" s="1788"/>
      <c r="E3" s="1788"/>
      <c r="F3" s="1788"/>
      <c r="G3" s="1788"/>
      <c r="H3" s="1788"/>
      <c r="I3" s="1788"/>
      <c r="J3" s="1788"/>
      <c r="K3" s="1788"/>
      <c r="L3" s="1788"/>
    </row>
    <row r="4" spans="2:21" ht="15.6">
      <c r="B4" s="1761" t="str">
        <f>UPPER('KEY INPUTS'!D$56)&amp;"  UTILITY"&amp;" ________________ LOAN"</f>
        <v xml:space="preserve">  UTILITY ________________ LOAN</v>
      </c>
      <c r="C4" s="1761"/>
      <c r="D4" s="1761"/>
      <c r="E4" s="1761"/>
      <c r="F4" s="1761"/>
      <c r="G4" s="1761"/>
      <c r="H4" s="1761"/>
      <c r="I4" s="1761"/>
      <c r="J4" s="1761"/>
      <c r="K4" s="1761"/>
      <c r="L4" s="1761"/>
    </row>
    <row r="5" spans="2:21" ht="9.75" customHeight="1" thickBot="1">
      <c r="B5" s="1387"/>
      <c r="C5" s="1387"/>
      <c r="D5" s="1387"/>
      <c r="E5" s="1387"/>
      <c r="F5" s="1387"/>
      <c r="G5" s="1387"/>
      <c r="H5" s="1387"/>
      <c r="I5" s="1387"/>
      <c r="J5" s="1387"/>
      <c r="K5" s="1387"/>
      <c r="L5" s="1387"/>
    </row>
    <row r="6" spans="2:21" ht="27.75" customHeight="1" thickTop="1" thickBot="1">
      <c r="B6" s="1388"/>
      <c r="C6" s="1388"/>
      <c r="D6" s="1388"/>
      <c r="E6" s="1388"/>
      <c r="F6" s="1388"/>
      <c r="G6" s="1134" t="s">
        <v>125</v>
      </c>
      <c r="H6" s="1937" t="s">
        <v>126</v>
      </c>
      <c r="I6" s="1786"/>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58"/>
      <c r="D7" s="1158"/>
      <c r="E7" s="1158"/>
      <c r="F7" s="1158"/>
      <c r="G7" s="1088" t="s">
        <v>787</v>
      </c>
      <c r="H7" s="1705"/>
      <c r="I7" s="1706"/>
      <c r="K7" s="1146"/>
      <c r="L7" s="1146"/>
      <c r="O7" s="322"/>
      <c r="P7" s="322"/>
      <c r="Q7" s="322"/>
      <c r="R7" s="322"/>
      <c r="S7" s="322"/>
      <c r="T7" s="322"/>
      <c r="U7" s="322"/>
    </row>
    <row r="8" spans="2:21" ht="21" customHeight="1">
      <c r="B8" s="690" t="s">
        <v>113</v>
      </c>
      <c r="C8" s="1139"/>
      <c r="D8" s="1139"/>
      <c r="E8" s="1139"/>
      <c r="F8" s="1139"/>
      <c r="G8" s="973" t="s">
        <v>787</v>
      </c>
      <c r="H8" s="1679"/>
      <c r="I8" s="1680"/>
      <c r="K8" s="1146"/>
      <c r="L8" s="1146"/>
      <c r="O8" s="377"/>
      <c r="P8" s="322"/>
      <c r="Q8" s="322"/>
      <c r="R8" s="322"/>
      <c r="S8" s="322"/>
      <c r="T8" s="322"/>
      <c r="U8" s="322"/>
    </row>
    <row r="9" spans="2:21" ht="21" customHeight="1">
      <c r="B9" s="690"/>
      <c r="C9" s="1139"/>
      <c r="D9" s="1139"/>
      <c r="E9" s="1139"/>
      <c r="F9" s="1139"/>
      <c r="G9" s="973"/>
      <c r="H9" s="1389"/>
      <c r="I9" s="1390"/>
      <c r="K9" s="1146"/>
      <c r="L9" s="1146"/>
      <c r="O9" s="322"/>
      <c r="P9" s="322"/>
      <c r="Q9" s="322"/>
      <c r="R9" s="322"/>
      <c r="S9" s="322"/>
      <c r="T9" s="322"/>
      <c r="U9" s="322"/>
    </row>
    <row r="10" spans="2:21" ht="21" customHeight="1">
      <c r="B10" s="690" t="s">
        <v>326</v>
      </c>
      <c r="C10" s="1139"/>
      <c r="D10" s="1139"/>
      <c r="E10" s="1139"/>
      <c r="F10" s="1139"/>
      <c r="G10" s="601"/>
      <c r="H10" s="1685" t="s">
        <v>787</v>
      </c>
      <c r="I10" s="1686"/>
      <c r="K10" s="1146"/>
      <c r="L10" s="1146"/>
      <c r="O10" s="322"/>
      <c r="P10" s="322"/>
      <c r="Q10" s="322"/>
      <c r="R10" s="322"/>
      <c r="S10" s="322"/>
      <c r="T10" s="322"/>
      <c r="U10" s="322"/>
    </row>
    <row r="11" spans="2:21" ht="21" customHeight="1" thickBot="1">
      <c r="B11" s="690" t="str">
        <f>'KEY INPUTS'!D28</f>
        <v>Outstanding - December 31, 2019</v>
      </c>
      <c r="C11" s="1139"/>
      <c r="D11" s="1139"/>
      <c r="E11" s="1139"/>
      <c r="F11" s="1139"/>
      <c r="G11" s="1089">
        <f>+H7+H8-G10</f>
        <v>0</v>
      </c>
      <c r="H11" s="1677" t="s">
        <v>787</v>
      </c>
      <c r="I11" s="1678"/>
      <c r="K11" s="1146"/>
      <c r="L11" s="1146"/>
      <c r="O11" s="322"/>
      <c r="P11" s="322"/>
      <c r="Q11" s="322"/>
      <c r="R11" s="322"/>
      <c r="S11" s="322"/>
      <c r="T11" s="322"/>
      <c r="U11" s="322"/>
    </row>
    <row r="12" spans="2:21" ht="21" customHeight="1" thickBot="1">
      <c r="B12" s="1114"/>
      <c r="C12" s="1146"/>
      <c r="D12" s="1146"/>
      <c r="E12" s="1146"/>
      <c r="F12" s="1146"/>
      <c r="G12" s="1083">
        <f>SUM(G7:G11)</f>
        <v>0</v>
      </c>
      <c r="H12" s="1683">
        <f>SUM(H7:I11)</f>
        <v>0</v>
      </c>
      <c r="I12" s="1684"/>
      <c r="K12" s="1146"/>
      <c r="L12" s="1146"/>
      <c r="O12" s="322"/>
      <c r="P12" s="322"/>
      <c r="Q12" s="322"/>
      <c r="R12" s="322"/>
      <c r="S12" s="322"/>
      <c r="T12" s="322"/>
      <c r="U12" s="322"/>
    </row>
    <row r="13" spans="2:21" ht="21" customHeight="1" thickTop="1">
      <c r="B13" s="1382" t="str">
        <f>TEXT('KEY INPUTS'!D34+1,"0")&amp;" Loan Maturities"</f>
        <v>2020 Loan Maturities</v>
      </c>
      <c r="C13" s="1391"/>
      <c r="D13" s="1391"/>
      <c r="E13" s="1391"/>
      <c r="F13" s="1391"/>
      <c r="G13" s="1391"/>
      <c r="H13" s="1391"/>
      <c r="I13" s="1392"/>
      <c r="J13" s="479" t="s">
        <v>482</v>
      </c>
      <c r="K13" s="1714"/>
      <c r="L13" s="1714"/>
      <c r="O13" s="322"/>
      <c r="P13" s="322"/>
      <c r="Q13" s="322"/>
      <c r="R13" s="322"/>
      <c r="S13" s="322"/>
      <c r="T13" s="322"/>
      <c r="U13" s="322"/>
    </row>
    <row r="14" spans="2:21" ht="21" customHeight="1" thickBot="1">
      <c r="B14" s="1383" t="str">
        <f>TEXT('KEY INPUTS'!D34+1,"0")&amp;" Interest on Loans"</f>
        <v>2020 Interest on Loans</v>
      </c>
      <c r="C14" s="1162"/>
      <c r="D14" s="1162"/>
      <c r="E14" s="1162"/>
      <c r="F14" s="1162"/>
      <c r="G14" s="1375"/>
      <c r="H14" s="413" t="s">
        <v>482</v>
      </c>
      <c r="I14" s="674"/>
      <c r="K14" s="1146"/>
      <c r="L14" s="1146"/>
      <c r="O14" s="322"/>
      <c r="P14" s="322"/>
      <c r="Q14" s="322"/>
      <c r="R14" s="322"/>
      <c r="S14" s="322"/>
      <c r="T14" s="322"/>
      <c r="U14" s="322"/>
    </row>
    <row r="15" spans="2:21" ht="16.5" customHeight="1" thickTop="1">
      <c r="B15" s="1956"/>
      <c r="C15" s="1956"/>
      <c r="D15" s="1956"/>
      <c r="E15" s="1956"/>
      <c r="F15" s="1956"/>
      <c r="G15" s="1956"/>
      <c r="H15" s="1956"/>
      <c r="I15" s="1957"/>
      <c r="K15" s="1146"/>
      <c r="L15" s="1146"/>
      <c r="O15" s="322"/>
      <c r="P15" s="322"/>
      <c r="Q15" s="322"/>
      <c r="R15" s="322"/>
      <c r="S15" s="322"/>
      <c r="T15" s="322"/>
      <c r="U15" s="322"/>
    </row>
    <row r="16" spans="2:21" ht="26.25" customHeight="1" thickBot="1">
      <c r="B16" s="1935" t="str">
        <f>UPPER('KEY INPUTS'!D$56)&amp;"  UTILITY"&amp;" ________________ LOAN"</f>
        <v xml:space="preserve">  UTILITY ________________ LOAN</v>
      </c>
      <c r="C16" s="1935"/>
      <c r="D16" s="1935"/>
      <c r="E16" s="1935"/>
      <c r="F16" s="1935"/>
      <c r="G16" s="1935"/>
      <c r="H16" s="1935"/>
      <c r="I16" s="1936"/>
      <c r="K16" s="1146"/>
      <c r="L16" s="1146"/>
      <c r="O16" s="322"/>
      <c r="P16" s="322"/>
      <c r="Q16" s="322"/>
      <c r="R16" s="322"/>
      <c r="S16" s="322"/>
      <c r="T16" s="322"/>
      <c r="U16" s="322"/>
    </row>
    <row r="17" spans="2:21" ht="21" customHeight="1" thickTop="1">
      <c r="B17" s="1211" t="str">
        <f>'KEY INPUTS'!D27</f>
        <v>Outstanding - January 1, 2019</v>
      </c>
      <c r="C17" s="1158"/>
      <c r="D17" s="1158"/>
      <c r="E17" s="1158"/>
      <c r="F17" s="1158"/>
      <c r="G17" s="1088" t="s">
        <v>787</v>
      </c>
      <c r="H17" s="1705"/>
      <c r="I17" s="1706"/>
      <c r="K17" s="1146"/>
      <c r="L17" s="1146"/>
      <c r="O17" s="322"/>
      <c r="P17" s="322"/>
      <c r="Q17" s="322"/>
      <c r="R17" s="322"/>
      <c r="S17" s="322"/>
      <c r="T17" s="322"/>
      <c r="U17" s="322"/>
    </row>
    <row r="18" spans="2:21" ht="21" customHeight="1">
      <c r="B18" s="690" t="s">
        <v>113</v>
      </c>
      <c r="C18" s="1139"/>
      <c r="D18" s="1139"/>
      <c r="E18" s="1139"/>
      <c r="F18" s="1139"/>
      <c r="G18" s="973" t="s">
        <v>787</v>
      </c>
      <c r="H18" s="1679"/>
      <c r="I18" s="1680"/>
      <c r="K18" s="1146"/>
      <c r="L18" s="1146"/>
      <c r="O18" s="322"/>
      <c r="P18" s="322"/>
      <c r="Q18" s="322"/>
      <c r="R18" s="322"/>
      <c r="S18" s="322"/>
      <c r="T18" s="322"/>
      <c r="U18" s="322"/>
    </row>
    <row r="19" spans="2:21" ht="21" customHeight="1">
      <c r="B19" s="690" t="s">
        <v>326</v>
      </c>
      <c r="C19" s="1139"/>
      <c r="D19" s="1139"/>
      <c r="E19" s="1139"/>
      <c r="F19" s="1139"/>
      <c r="G19" s="601"/>
      <c r="H19" s="1685" t="s">
        <v>787</v>
      </c>
      <c r="I19" s="1686"/>
      <c r="K19" s="1146"/>
      <c r="L19" s="1146"/>
      <c r="O19" s="322"/>
      <c r="P19" s="322"/>
      <c r="Q19" s="322"/>
      <c r="R19" s="322"/>
      <c r="S19" s="322"/>
      <c r="T19" s="322"/>
      <c r="U19" s="322"/>
    </row>
    <row r="20" spans="2:21" ht="21" customHeight="1">
      <c r="B20" s="690"/>
      <c r="C20" s="1139"/>
      <c r="D20" s="1139"/>
      <c r="E20" s="1139"/>
      <c r="F20" s="1139"/>
      <c r="G20" s="1105"/>
      <c r="H20" s="1707"/>
      <c r="I20" s="1708"/>
      <c r="K20" s="1146"/>
      <c r="L20" s="1146"/>
      <c r="O20" s="322"/>
      <c r="P20" s="322"/>
      <c r="Q20" s="322"/>
      <c r="R20" s="322"/>
      <c r="S20" s="322"/>
      <c r="T20" s="322"/>
      <c r="U20" s="322"/>
    </row>
    <row r="21" spans="2:21" ht="21" customHeight="1">
      <c r="B21" s="690"/>
      <c r="C21" s="1139"/>
      <c r="D21" s="1139"/>
      <c r="E21" s="1139"/>
      <c r="F21" s="1139"/>
      <c r="G21" s="1105"/>
      <c r="H21" s="1707"/>
      <c r="I21" s="1708"/>
      <c r="K21" s="1146"/>
      <c r="L21" s="1146"/>
      <c r="O21" s="322"/>
      <c r="P21" s="322"/>
      <c r="Q21" s="322"/>
      <c r="R21" s="322"/>
      <c r="S21" s="322"/>
      <c r="T21" s="322"/>
      <c r="U21" s="322"/>
    </row>
    <row r="22" spans="2:21" ht="21" customHeight="1" thickBot="1">
      <c r="B22" s="690" t="str">
        <f>'KEY INPUTS'!D28</f>
        <v>Outstanding - December 31, 2019</v>
      </c>
      <c r="C22" s="1139"/>
      <c r="D22" s="1139"/>
      <c r="E22" s="1139"/>
      <c r="F22" s="1139"/>
      <c r="G22" s="1089">
        <f>+H17+H18-G19-G20-G21+H20+H21</f>
        <v>0</v>
      </c>
      <c r="H22" s="1677" t="s">
        <v>787</v>
      </c>
      <c r="I22" s="1678"/>
      <c r="K22" s="1146"/>
      <c r="L22" s="1146"/>
      <c r="O22" s="322"/>
      <c r="P22" s="322"/>
      <c r="Q22" s="322"/>
      <c r="R22" s="322"/>
      <c r="S22" s="322"/>
      <c r="T22" s="322"/>
      <c r="U22" s="322"/>
    </row>
    <row r="23" spans="2:21" ht="21" customHeight="1" thickBot="1">
      <c r="B23" s="1114"/>
      <c r="C23" s="1146"/>
      <c r="D23" s="1146"/>
      <c r="E23" s="1146"/>
      <c r="F23" s="1146"/>
      <c r="G23" s="1083">
        <f>SUM(G17:G22)</f>
        <v>0</v>
      </c>
      <c r="H23" s="1683">
        <f>SUM(H17:I22)</f>
        <v>0</v>
      </c>
      <c r="I23" s="1684"/>
      <c r="K23" s="1146"/>
      <c r="L23" s="1146"/>
    </row>
    <row r="24" spans="2:21" ht="21" customHeight="1" thickTop="1">
      <c r="B24" s="1382" t="str">
        <f>TEXT('KEY INPUTS'!D34+1,"0")&amp;" Loan Maturities"</f>
        <v>2020 Loan Maturities</v>
      </c>
      <c r="C24" s="1391"/>
      <c r="D24" s="1391"/>
      <c r="E24" s="1391"/>
      <c r="F24" s="1391"/>
      <c r="G24" s="1391"/>
      <c r="H24" s="479"/>
      <c r="I24" s="1392"/>
      <c r="J24" s="479" t="s">
        <v>482</v>
      </c>
      <c r="K24" s="1714"/>
      <c r="L24" s="1714"/>
    </row>
    <row r="25" spans="2:21" ht="21" customHeight="1" thickBot="1">
      <c r="B25" s="1383" t="str">
        <f>TEXT('KEY INPUTS'!D34+1,"0")&amp;" Interest on Loans"</f>
        <v>2020 Interest on Loans</v>
      </c>
      <c r="C25" s="1162"/>
      <c r="D25" s="1162"/>
      <c r="E25" s="1162"/>
      <c r="F25" s="1162"/>
      <c r="G25" s="1375"/>
      <c r="H25" s="413" t="s">
        <v>482</v>
      </c>
      <c r="I25" s="608"/>
      <c r="J25" s="505"/>
      <c r="K25" s="1162"/>
      <c r="L25" s="1162"/>
    </row>
    <row r="26" spans="2:21" ht="21" customHeight="1" thickTop="1">
      <c r="B26" s="1146"/>
      <c r="C26" s="1146"/>
      <c r="D26" s="1146"/>
      <c r="E26" s="1146"/>
      <c r="F26" s="1146"/>
      <c r="G26" s="1146"/>
      <c r="H26" s="1146"/>
      <c r="I26" s="1146"/>
      <c r="J26" s="1146"/>
      <c r="K26" s="1146"/>
      <c r="L26" s="1146"/>
    </row>
    <row r="27" spans="2:21" ht="19.5" customHeight="1" thickBot="1">
      <c r="B27" s="1935" t="str">
        <f>"INTEREST  ON  LOANS  - "&amp;UPPER('KEY INPUTS'!D56)&amp;"  UTILITY  BUDGET"</f>
        <v>INTEREST  ON  LOANS  -   UTILITY  BUDGET</v>
      </c>
      <c r="C27" s="1935"/>
      <c r="D27" s="1935"/>
      <c r="E27" s="1935"/>
      <c r="F27" s="1935"/>
      <c r="G27" s="1935"/>
      <c r="H27" s="1935"/>
      <c r="I27" s="1935"/>
      <c r="J27" s="1935"/>
      <c r="K27" s="1935"/>
      <c r="L27" s="1935"/>
    </row>
    <row r="28" spans="2:21" ht="21" customHeight="1" thickTop="1">
      <c r="B28" s="1394" t="str">
        <f>TEXT('KEY INPUTS'!D34+1,"0")&amp;" Interest on Loans (*Items)"</f>
        <v>2020 Interest on Loans (*Items)</v>
      </c>
      <c r="C28" s="1170"/>
      <c r="D28" s="1158"/>
      <c r="E28" s="1158"/>
      <c r="F28" s="1158"/>
      <c r="G28" s="1158"/>
      <c r="H28" s="415" t="s">
        <v>482</v>
      </c>
      <c r="I28" s="1393">
        <f>+I25+I14</f>
        <v>0</v>
      </c>
    </row>
    <row r="29" spans="2:21" ht="21" customHeight="1">
      <c r="B29" s="914" t="str">
        <f>"Less: Interest Accrued to "&amp;TEXT('KEY INPUTS'!D29,"mm/dd/yyy")&amp;" (Trial Balance)"</f>
        <v>Less: Interest Accrued to 12/31/2019 (Trial Balance)</v>
      </c>
      <c r="C29" s="690"/>
      <c r="D29" s="1139"/>
      <c r="E29" s="1139"/>
      <c r="F29" s="1139"/>
      <c r="G29" s="1139"/>
      <c r="H29" s="334" t="s">
        <v>482</v>
      </c>
      <c r="I29" s="652"/>
    </row>
    <row r="30" spans="2:21" ht="21" customHeight="1">
      <c r="B30" s="690"/>
      <c r="C30" s="690" t="s">
        <v>421</v>
      </c>
      <c r="D30" s="1139"/>
      <c r="E30" s="1139"/>
      <c r="F30" s="1139"/>
      <c r="G30" s="1139"/>
      <c r="H30" s="334" t="s">
        <v>482</v>
      </c>
      <c r="I30" s="512">
        <f>+I28-I29</f>
        <v>0</v>
      </c>
    </row>
    <row r="31" spans="2:21" ht="21" customHeight="1">
      <c r="B31" s="914" t="str">
        <f>"Add: Interest to be Accrued as of "&amp;TEXT('KEY INPUTS'!D30,"mm/dd/yyyy")&amp;""</f>
        <v>Add: Interest to be Accrued as of 12/31/2020</v>
      </c>
      <c r="C31" s="690"/>
      <c r="D31" s="1139"/>
      <c r="E31" s="1139"/>
      <c r="F31" s="1139"/>
      <c r="G31" s="1139"/>
      <c r="H31" s="334" t="s">
        <v>482</v>
      </c>
      <c r="I31" s="652"/>
    </row>
    <row r="32" spans="2:21" ht="21" customHeight="1">
      <c r="B32" s="914" t="str">
        <f>"Required Appropriation "&amp;TEXT('KEY INPUTS'!D34+1,"0")</f>
        <v>Required Appropriation 2020</v>
      </c>
      <c r="C32" s="690"/>
      <c r="D32" s="1139"/>
      <c r="E32" s="1139"/>
      <c r="F32" s="1139"/>
      <c r="G32" s="1139"/>
      <c r="H32" s="334"/>
      <c r="I32" s="1165"/>
      <c r="J32" s="506" t="s">
        <v>482</v>
      </c>
      <c r="K32" s="1939">
        <f>+I30+I31</f>
        <v>0</v>
      </c>
      <c r="L32" s="1940"/>
    </row>
    <row r="33" spans="2:12" ht="13.5" customHeight="1">
      <c r="B33" s="1262"/>
      <c r="C33" s="1262"/>
      <c r="D33" s="1262"/>
      <c r="E33" s="1262"/>
      <c r="F33" s="1262"/>
      <c r="G33" s="1262"/>
      <c r="H33" s="1262"/>
      <c r="I33" s="1262"/>
      <c r="J33" s="1262"/>
      <c r="K33" s="1429"/>
      <c r="L33" s="1270"/>
    </row>
    <row r="34" spans="2:12" ht="13.5" customHeight="1">
      <c r="B34" s="1262"/>
      <c r="C34" s="1262"/>
      <c r="D34" s="1262"/>
      <c r="E34" s="1262"/>
      <c r="F34" s="1262"/>
      <c r="G34" s="1262"/>
      <c r="H34" s="1262"/>
      <c r="I34" s="1262"/>
      <c r="J34" s="1262"/>
      <c r="K34" s="1429"/>
      <c r="L34" s="1270"/>
    </row>
    <row r="35" spans="2:12" ht="21" customHeight="1" thickBot="1">
      <c r="B35" s="1938" t="str">
        <f>"LIST  OF  LOANS  ISSUED  DURING  "&amp;TEXT('KEY INPUTS'!D34,"0")&amp;""</f>
        <v>LIST  OF  LOANS  ISSUED  DURING  2019</v>
      </c>
      <c r="C35" s="1938"/>
      <c r="D35" s="1938"/>
      <c r="E35" s="1938"/>
      <c r="F35" s="1938"/>
      <c r="G35" s="1938"/>
      <c r="H35" s="1938"/>
      <c r="I35" s="1938"/>
      <c r="J35" s="1938"/>
      <c r="K35" s="1938"/>
      <c r="L35" s="1938"/>
    </row>
    <row r="36" spans="2:12" ht="27" customHeight="1" thickTop="1" thickBot="1">
      <c r="B36" s="1785" t="s">
        <v>532</v>
      </c>
      <c r="C36" s="1785"/>
      <c r="D36" s="1785"/>
      <c r="E36" s="1785"/>
      <c r="F36" s="1785"/>
      <c r="G36" s="1397" t="str">
        <f>TEXT('KEY INPUTS'!D34,"0")&amp;" Maturity"</f>
        <v>2019 Maturity</v>
      </c>
      <c r="H36" s="1937" t="s">
        <v>109</v>
      </c>
      <c r="I36" s="1786"/>
      <c r="J36" s="1941" t="s">
        <v>107</v>
      </c>
      <c r="K36" s="1942"/>
      <c r="L36" s="1398"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162"/>
      <c r="C41" s="1162"/>
      <c r="D41" s="1162"/>
      <c r="E41" s="1162"/>
      <c r="F41" s="1163"/>
      <c r="G41" s="1083">
        <f>SUM(G37:G40)</f>
        <v>0</v>
      </c>
      <c r="H41" s="1703">
        <f>SUM(H37:I40)</f>
        <v>0</v>
      </c>
      <c r="I41" s="1704"/>
      <c r="J41" s="1396"/>
      <c r="K41" s="1162"/>
      <c r="L41" s="1156"/>
    </row>
    <row r="42" spans="2:12" ht="13.8" thickTop="1">
      <c r="G42" s="504"/>
      <c r="H42" s="504"/>
      <c r="I42" s="504"/>
    </row>
    <row r="51" spans="2:12" ht="13.8">
      <c r="B51" s="1812" t="s">
        <v>3445</v>
      </c>
      <c r="C51" s="1812"/>
      <c r="D51" s="1812"/>
      <c r="E51" s="1812"/>
      <c r="F51" s="1812"/>
      <c r="G51" s="1812"/>
      <c r="H51" s="1812"/>
      <c r="I51" s="1812"/>
      <c r="J51" s="1812"/>
      <c r="K51" s="1812"/>
      <c r="L51" s="1812"/>
    </row>
  </sheetData>
  <sheetProtection algorithmName="SHA-512" hashValue="JrC7+/QX7Jc4gP8yIO+BgaF5qEEiABk8ajcN37CMJk96M8k2x08iHPB1I6k6CWdr/MGWeP3U4AGkZR7fl2cx8A==" saltValue="kBPB0/fs1olGHIeznPu7GA=="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2:P27"/>
  <sheetViews>
    <sheetView topLeftCell="A16" zoomScaleNormal="100" workbookViewId="0">
      <selection activeCell="L9" sqref="L9"/>
    </sheetView>
  </sheetViews>
  <sheetFormatPr defaultRowHeight="13.2"/>
  <cols>
    <col min="1" max="1" width="5.6640625" customWidth="1"/>
    <col min="2" max="3" width="4.88671875" customWidth="1"/>
    <col min="4" max="4" width="30.6640625" customWidth="1"/>
    <col min="5" max="12" width="15.6640625" customWidth="1"/>
  </cols>
  <sheetData>
    <row r="2" spans="1:16" ht="20.399999999999999">
      <c r="B2" s="1508" t="s">
        <v>668</v>
      </c>
      <c r="C2" s="1508"/>
      <c r="D2" s="1508"/>
      <c r="E2" s="1508"/>
      <c r="F2" s="1508"/>
      <c r="G2" s="1508"/>
      <c r="H2" s="1508"/>
      <c r="I2" s="1508"/>
      <c r="J2" s="1508"/>
      <c r="K2" s="1508"/>
      <c r="L2" s="1508"/>
    </row>
    <row r="3" spans="1:16" ht="21" thickBot="1">
      <c r="B3" s="1508" t="s">
        <v>669</v>
      </c>
      <c r="C3" s="1508"/>
      <c r="D3" s="1508"/>
      <c r="E3" s="1508"/>
      <c r="F3" s="1508"/>
      <c r="G3" s="1508"/>
      <c r="H3" s="1508"/>
      <c r="I3" s="1508"/>
      <c r="J3" s="1508"/>
      <c r="K3" s="1508"/>
      <c r="L3" s="1508"/>
    </row>
    <row r="4" spans="1:16" ht="13.8" thickTop="1">
      <c r="B4" s="11"/>
      <c r="C4" s="11"/>
      <c r="D4" s="11"/>
      <c r="E4" s="12" t="s">
        <v>670</v>
      </c>
      <c r="F4" s="11"/>
      <c r="G4" s="11"/>
      <c r="H4" s="11"/>
      <c r="I4" s="11"/>
      <c r="J4" s="6"/>
      <c r="K4" s="11"/>
      <c r="L4" s="863"/>
    </row>
    <row r="5" spans="1:16" ht="15.6">
      <c r="B5" s="322"/>
      <c r="C5" s="322" t="s">
        <v>678</v>
      </c>
      <c r="D5" s="322"/>
      <c r="E5" s="282" t="s">
        <v>671</v>
      </c>
      <c r="F5" s="1574" t="s">
        <v>672</v>
      </c>
      <c r="G5" s="1575"/>
      <c r="H5" s="1575"/>
      <c r="I5" s="1576"/>
      <c r="J5" s="15"/>
      <c r="K5" s="322"/>
      <c r="L5" s="864" t="s">
        <v>671</v>
      </c>
    </row>
    <row r="6" spans="1:16">
      <c r="B6" s="322"/>
      <c r="C6" s="322" t="s">
        <v>679</v>
      </c>
      <c r="D6" s="322"/>
      <c r="E6" s="299" t="str">
        <f>'KEY INPUTS'!D45</f>
        <v>Dec. 31, 2018</v>
      </c>
      <c r="F6" s="282" t="s">
        <v>673</v>
      </c>
      <c r="G6" s="282" t="s">
        <v>675</v>
      </c>
      <c r="H6" s="15"/>
      <c r="I6" s="15"/>
      <c r="J6" s="15"/>
      <c r="K6" s="819" t="s">
        <v>677</v>
      </c>
      <c r="L6" s="865" t="str">
        <f>'KEY INPUTS'!D46</f>
        <v>Dec. 31, 2019</v>
      </c>
    </row>
    <row r="7" spans="1:16" ht="13.8" thickBot="1">
      <c r="B7" s="10"/>
      <c r="C7" s="10"/>
      <c r="D7" s="10"/>
      <c r="E7" s="14"/>
      <c r="F7" s="16" t="s">
        <v>674</v>
      </c>
      <c r="G7" s="16" t="s">
        <v>676</v>
      </c>
      <c r="H7" s="14"/>
      <c r="I7" s="14"/>
      <c r="J7" s="14"/>
      <c r="K7" s="17"/>
      <c r="L7" s="866"/>
    </row>
    <row r="8" spans="1:16" ht="21" customHeight="1" thickTop="1">
      <c r="B8" s="381" t="s">
        <v>781</v>
      </c>
      <c r="C8" s="381"/>
      <c r="D8" s="382"/>
      <c r="E8" s="145" t="s">
        <v>787</v>
      </c>
      <c r="F8" s="145" t="s">
        <v>787</v>
      </c>
      <c r="G8" s="145" t="s">
        <v>787</v>
      </c>
      <c r="H8" s="145" t="s">
        <v>787</v>
      </c>
      <c r="I8" s="145" t="s">
        <v>787</v>
      </c>
      <c r="J8" s="145" t="s">
        <v>787</v>
      </c>
      <c r="K8" s="145" t="s">
        <v>787</v>
      </c>
      <c r="L8" s="867" t="s">
        <v>787</v>
      </c>
    </row>
    <row r="9" spans="1:16" ht="21" customHeight="1">
      <c r="B9" s="567" t="s">
        <v>3945</v>
      </c>
      <c r="C9" s="566"/>
      <c r="D9" s="572"/>
      <c r="E9" s="374">
        <v>545352.06000000006</v>
      </c>
      <c r="F9" s="374"/>
      <c r="G9" s="374"/>
      <c r="H9" s="374"/>
      <c r="I9" s="374"/>
      <c r="J9" s="374"/>
      <c r="K9" s="374">
        <v>65750.16</v>
      </c>
      <c r="L9" s="844">
        <f>+E9+F9+G9+H9+I9-J9-K9</f>
        <v>479601.9</v>
      </c>
    </row>
    <row r="10" spans="1:16" ht="21" customHeight="1">
      <c r="B10" s="566"/>
      <c r="C10" s="566"/>
      <c r="D10" s="572"/>
      <c r="E10" s="374"/>
      <c r="F10" s="374"/>
      <c r="G10" s="374"/>
      <c r="H10" s="374"/>
      <c r="I10" s="374"/>
      <c r="J10" s="374"/>
      <c r="K10" s="374"/>
      <c r="L10" s="844">
        <f t="shared" ref="L10:L13" si="0">+E10+F10+G10+H10+I10-J10-K10</f>
        <v>0</v>
      </c>
    </row>
    <row r="11" spans="1:16" ht="21" customHeight="1">
      <c r="B11" s="566"/>
      <c r="C11" s="566"/>
      <c r="D11" s="572"/>
      <c r="E11" s="374"/>
      <c r="F11" s="374"/>
      <c r="G11" s="374"/>
      <c r="H11" s="374"/>
      <c r="I11" s="374"/>
      <c r="J11" s="374"/>
      <c r="K11" s="374"/>
      <c r="L11" s="844">
        <f t="shared" si="0"/>
        <v>0</v>
      </c>
      <c r="P11" s="377"/>
    </row>
    <row r="12" spans="1:16" ht="21" customHeight="1">
      <c r="B12" s="566"/>
      <c r="C12" s="566"/>
      <c r="D12" s="572"/>
      <c r="E12" s="374"/>
      <c r="F12" s="374"/>
      <c r="G12" s="374"/>
      <c r="H12" s="374"/>
      <c r="I12" s="374"/>
      <c r="J12" s="374"/>
      <c r="K12" s="374"/>
      <c r="L12" s="844">
        <f t="shared" si="0"/>
        <v>0</v>
      </c>
    </row>
    <row r="13" spans="1:16" ht="21" customHeight="1">
      <c r="B13" s="566"/>
      <c r="C13" s="566"/>
      <c r="D13" s="572"/>
      <c r="E13" s="597"/>
      <c r="F13" s="374"/>
      <c r="G13" s="374"/>
      <c r="H13" s="374"/>
      <c r="I13" s="374"/>
      <c r="J13" s="374"/>
      <c r="K13" s="374"/>
      <c r="L13" s="844">
        <f t="shared" si="0"/>
        <v>0</v>
      </c>
    </row>
    <row r="14" spans="1:16" ht="21" customHeight="1">
      <c r="B14" s="383" t="s">
        <v>782</v>
      </c>
      <c r="C14" s="383"/>
      <c r="D14" s="384"/>
      <c r="E14" s="146" t="s">
        <v>787</v>
      </c>
      <c r="F14" s="146" t="s">
        <v>787</v>
      </c>
      <c r="G14" s="146" t="s">
        <v>787</v>
      </c>
      <c r="H14" s="146" t="s">
        <v>787</v>
      </c>
      <c r="I14" s="146" t="s">
        <v>787</v>
      </c>
      <c r="J14" s="146" t="s">
        <v>787</v>
      </c>
      <c r="K14" s="146" t="s">
        <v>787</v>
      </c>
      <c r="L14" s="868" t="s">
        <v>787</v>
      </c>
    </row>
    <row r="15" spans="1:16" ht="21" customHeight="1">
      <c r="A15" s="1577" t="s">
        <v>680</v>
      </c>
      <c r="B15" s="566"/>
      <c r="C15" s="566"/>
      <c r="D15" s="572"/>
      <c r="E15" s="374"/>
      <c r="F15" s="374"/>
      <c r="G15" s="374"/>
      <c r="H15" s="374"/>
      <c r="I15" s="374"/>
      <c r="J15" s="374"/>
      <c r="K15" s="374"/>
      <c r="L15" s="844">
        <f>+E15+F15+G15+H15+I15-J15-K15</f>
        <v>0</v>
      </c>
    </row>
    <row r="16" spans="1:16" ht="21" customHeight="1">
      <c r="A16" s="1577"/>
      <c r="B16" s="566"/>
      <c r="C16" s="566"/>
      <c r="D16" s="572"/>
      <c r="E16" s="374"/>
      <c r="F16" s="374"/>
      <c r="G16" s="374"/>
      <c r="H16" s="374"/>
      <c r="I16" s="374"/>
      <c r="J16" s="374"/>
      <c r="K16" s="374"/>
      <c r="L16" s="844">
        <f t="shared" ref="L16:L25" si="1">+E16+F16+G16+H16+I16-J16-K16</f>
        <v>0</v>
      </c>
    </row>
    <row r="17" spans="1:12" ht="21" customHeight="1">
      <c r="A17" s="1577"/>
      <c r="B17" s="566"/>
      <c r="C17" s="566"/>
      <c r="D17" s="572"/>
      <c r="E17" s="374"/>
      <c r="F17" s="374"/>
      <c r="G17" s="374"/>
      <c r="H17" s="374"/>
      <c r="I17" s="374"/>
      <c r="J17" s="374"/>
      <c r="K17" s="374"/>
      <c r="L17" s="844">
        <f t="shared" si="1"/>
        <v>0</v>
      </c>
    </row>
    <row r="18" spans="1:12" ht="21" customHeight="1">
      <c r="B18" s="566"/>
      <c r="C18" s="566"/>
      <c r="D18" s="572"/>
      <c r="E18" s="374"/>
      <c r="F18" s="374"/>
      <c r="G18" s="374"/>
      <c r="H18" s="374"/>
      <c r="I18" s="374"/>
      <c r="J18" s="374"/>
      <c r="K18" s="374"/>
      <c r="L18" s="844">
        <f t="shared" si="1"/>
        <v>0</v>
      </c>
    </row>
    <row r="19" spans="1:12" ht="21" customHeight="1">
      <c r="B19" s="383" t="s">
        <v>783</v>
      </c>
      <c r="C19" s="383"/>
      <c r="D19" s="384"/>
      <c r="E19" s="374"/>
      <c r="F19" s="374"/>
      <c r="G19" s="374"/>
      <c r="H19" s="374"/>
      <c r="I19" s="374"/>
      <c r="J19" s="374"/>
      <c r="K19" s="374"/>
      <c r="L19" s="844">
        <f t="shared" si="1"/>
        <v>0</v>
      </c>
    </row>
    <row r="20" spans="1:12" ht="21" customHeight="1">
      <c r="B20" s="383" t="s">
        <v>784</v>
      </c>
      <c r="C20" s="383"/>
      <c r="D20" s="384"/>
      <c r="E20" s="374">
        <v>46184.18</v>
      </c>
      <c r="F20" s="374"/>
      <c r="G20" s="374"/>
      <c r="H20" s="374"/>
      <c r="I20" s="374"/>
      <c r="J20" s="374"/>
      <c r="K20" s="374"/>
      <c r="L20" s="844">
        <f t="shared" si="1"/>
        <v>46184.18</v>
      </c>
    </row>
    <row r="21" spans="1:12" ht="21" customHeight="1">
      <c r="B21" s="383" t="s">
        <v>785</v>
      </c>
      <c r="C21" s="383"/>
      <c r="D21" s="384"/>
      <c r="E21" s="146" t="s">
        <v>787</v>
      </c>
      <c r="F21" s="146" t="s">
        <v>787</v>
      </c>
      <c r="G21" s="146" t="s">
        <v>787</v>
      </c>
      <c r="H21" s="146" t="s">
        <v>787</v>
      </c>
      <c r="I21" s="146" t="s">
        <v>787</v>
      </c>
      <c r="J21" s="146" t="s">
        <v>787</v>
      </c>
      <c r="K21" s="146" t="s">
        <v>787</v>
      </c>
      <c r="L21" s="869" t="s">
        <v>787</v>
      </c>
    </row>
    <row r="22" spans="1:12" ht="21" customHeight="1">
      <c r="B22" s="566"/>
      <c r="C22" s="566"/>
      <c r="D22" s="572"/>
      <c r="E22" s="374"/>
      <c r="F22" s="374"/>
      <c r="G22" s="374"/>
      <c r="H22" s="374"/>
      <c r="I22" s="374"/>
      <c r="J22" s="374"/>
      <c r="K22" s="374"/>
      <c r="L22" s="844">
        <f t="shared" si="1"/>
        <v>0</v>
      </c>
    </row>
    <row r="23" spans="1:12" ht="21" customHeight="1">
      <c r="B23" s="566"/>
      <c r="C23" s="566"/>
      <c r="D23" s="572"/>
      <c r="E23" s="374"/>
      <c r="F23" s="374"/>
      <c r="G23" s="374"/>
      <c r="H23" s="374"/>
      <c r="I23" s="374"/>
      <c r="J23" s="374"/>
      <c r="K23" s="374"/>
      <c r="L23" s="844">
        <f t="shared" si="1"/>
        <v>0</v>
      </c>
    </row>
    <row r="24" spans="1:12" ht="21" customHeight="1">
      <c r="B24" s="566"/>
      <c r="C24" s="566"/>
      <c r="D24" s="572"/>
      <c r="E24" s="374"/>
      <c r="F24" s="374"/>
      <c r="G24" s="374"/>
      <c r="H24" s="374"/>
      <c r="I24" s="374"/>
      <c r="J24" s="374"/>
      <c r="K24" s="374"/>
      <c r="L24" s="844">
        <f t="shared" si="1"/>
        <v>0</v>
      </c>
    </row>
    <row r="25" spans="1:12" ht="21" customHeight="1">
      <c r="B25" s="566"/>
      <c r="C25" s="566"/>
      <c r="D25" s="572"/>
      <c r="E25" s="374"/>
      <c r="F25" s="374"/>
      <c r="G25" s="374"/>
      <c r="H25" s="374"/>
      <c r="I25" s="374"/>
      <c r="J25" s="374"/>
      <c r="K25" s="374"/>
      <c r="L25" s="844">
        <f t="shared" si="1"/>
        <v>0</v>
      </c>
    </row>
    <row r="26" spans="1:12" ht="21" customHeight="1" thickBot="1">
      <c r="B26" s="859"/>
      <c r="C26" s="859"/>
      <c r="D26" s="860"/>
      <c r="E26" s="861">
        <f>SUM(E9:E25)</f>
        <v>591536.24000000011</v>
      </c>
      <c r="F26" s="861">
        <f t="shared" ref="F26:K26" si="2">SUM(F9:F25)</f>
        <v>0</v>
      </c>
      <c r="G26" s="861">
        <f t="shared" si="2"/>
        <v>0</v>
      </c>
      <c r="H26" s="861">
        <f t="shared" si="2"/>
        <v>0</v>
      </c>
      <c r="I26" s="861">
        <f t="shared" si="2"/>
        <v>0</v>
      </c>
      <c r="J26" s="861">
        <f t="shared" si="2"/>
        <v>0</v>
      </c>
      <c r="K26" s="861">
        <f t="shared" si="2"/>
        <v>65750.16</v>
      </c>
      <c r="L26" s="862">
        <f>SUM(L9:L25)</f>
        <v>525786.08000000007</v>
      </c>
    </row>
    <row r="27" spans="1:12" ht="13.8" thickTop="1">
      <c r="B27" s="34" t="s">
        <v>786</v>
      </c>
    </row>
  </sheetData>
  <sheetProtection algorithmName="SHA-512" hashValue="r0oX3Z1uMksD0EfgX/TqDIRXVJgjaYZ92AmfBA8K/YB2Afsb6L1PoPYerUh3xzmA1TfOcfVvAN6oDIyB13XO1w==" saltValue="zs0xyvMuONBiXO6S77Lcyw==" spinCount="100000" sheet="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topLeftCell="A10">
      <selection activeCell="D20" sqref="D20"/>
      <pageMargins left="0.25" right="0.25" top="0.5" bottom="0.5" header="0.25" footer="0.25"/>
      <pageSetup paperSize="5" orientation="landscape" r:id="rId4"/>
      <headerFooter alignWithMargins="0"/>
    </customSheetView>
  </customSheetViews>
  <mergeCells count="4">
    <mergeCell ref="B2:L2"/>
    <mergeCell ref="B3:L3"/>
    <mergeCell ref="F5:I5"/>
    <mergeCell ref="A15:A17"/>
  </mergeCells>
  <phoneticPr fontId="0" type="noConversion"/>
  <pageMargins left="0.25" right="0.25" top="0.5" bottom="0.5" header="0.25" footer="0.25"/>
  <pageSetup paperSize="5" scale="60" orientation="portrait" r:id="rId5"/>
  <headerFooter alignWithMargins="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codeName="Sheet259">
    <tabColor theme="7" tint="0.39997558519241921"/>
  </sheetPr>
  <dimension ref="B2: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2" spans="2:21" ht="20.399999999999999">
      <c r="B2" s="1870" t="s">
        <v>606</v>
      </c>
      <c r="C2" s="1870"/>
      <c r="D2" s="1870"/>
      <c r="E2" s="1870"/>
      <c r="F2" s="1870"/>
      <c r="G2" s="1870"/>
      <c r="H2" s="1870"/>
      <c r="I2" s="1870"/>
      <c r="J2" s="1870"/>
      <c r="K2" s="1870"/>
      <c r="L2" s="1870"/>
    </row>
    <row r="3" spans="2:21" ht="20.399999999999999">
      <c r="B3" s="1788" t="str">
        <f>"AND  "&amp;TEXT('KEY INPUTS'!D34+1,"0")&amp;"  DEBT  SERVICE  FOR  LOANS"</f>
        <v>AND  2020  DEBT  SERVICE  FOR  LOANS</v>
      </c>
      <c r="C3" s="1788"/>
      <c r="D3" s="1788"/>
      <c r="E3" s="1788"/>
      <c r="F3" s="1788"/>
      <c r="G3" s="1788"/>
      <c r="H3" s="1788"/>
      <c r="I3" s="1788"/>
      <c r="J3" s="1788"/>
      <c r="K3" s="1788"/>
      <c r="L3" s="1788"/>
    </row>
    <row r="4" spans="2:21" ht="15.6">
      <c r="B4" s="1761" t="str">
        <f>UPPER('KEY INPUTS'!D$56)&amp;"  UTILITY"&amp;" ________________ LOAN"</f>
        <v xml:space="preserve">  UTILITY ________________ LOAN</v>
      </c>
      <c r="C4" s="1761"/>
      <c r="D4" s="1761"/>
      <c r="E4" s="1761"/>
      <c r="F4" s="1761"/>
      <c r="G4" s="1761"/>
      <c r="H4" s="1761"/>
      <c r="I4" s="1761"/>
      <c r="J4" s="1761"/>
      <c r="K4" s="1761"/>
      <c r="L4" s="1761"/>
    </row>
    <row r="5" spans="2:21" ht="9.75" customHeight="1" thickBot="1">
      <c r="B5" s="1387"/>
      <c r="C5" s="1387"/>
      <c r="D5" s="1387"/>
      <c r="E5" s="1387"/>
      <c r="F5" s="1387"/>
      <c r="G5" s="1387"/>
      <c r="H5" s="1387"/>
      <c r="I5" s="1387"/>
      <c r="J5" s="1387"/>
      <c r="K5" s="1387"/>
      <c r="L5" s="1387"/>
    </row>
    <row r="6" spans="2:21" ht="27.75" customHeight="1" thickTop="1" thickBot="1">
      <c r="B6" s="1388"/>
      <c r="C6" s="1388"/>
      <c r="D6" s="1388"/>
      <c r="E6" s="1388"/>
      <c r="F6" s="1388"/>
      <c r="G6" s="1134" t="s">
        <v>125</v>
      </c>
      <c r="H6" s="1937" t="s">
        <v>126</v>
      </c>
      <c r="I6" s="1786"/>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58"/>
      <c r="D7" s="1158"/>
      <c r="E7" s="1158"/>
      <c r="F7" s="1158"/>
      <c r="G7" s="1088" t="s">
        <v>787</v>
      </c>
      <c r="H7" s="1705"/>
      <c r="I7" s="1706"/>
      <c r="K7" s="1146"/>
      <c r="L7" s="1146"/>
      <c r="O7" s="322"/>
      <c r="P7" s="322"/>
      <c r="Q7" s="322"/>
      <c r="R7" s="322"/>
      <c r="S7" s="322"/>
      <c r="T7" s="322"/>
      <c r="U7" s="322"/>
    </row>
    <row r="8" spans="2:21" ht="21" customHeight="1">
      <c r="B8" s="690" t="s">
        <v>113</v>
      </c>
      <c r="C8" s="1139"/>
      <c r="D8" s="1139"/>
      <c r="E8" s="1139"/>
      <c r="F8" s="1139"/>
      <c r="G8" s="973" t="s">
        <v>787</v>
      </c>
      <c r="H8" s="1679"/>
      <c r="I8" s="1680"/>
      <c r="K8" s="1146"/>
      <c r="L8" s="1146"/>
      <c r="O8" s="377"/>
      <c r="P8" s="322"/>
      <c r="Q8" s="322"/>
      <c r="R8" s="322"/>
      <c r="S8" s="322"/>
      <c r="T8" s="322"/>
      <c r="U8" s="322"/>
    </row>
    <row r="9" spans="2:21" ht="21" customHeight="1">
      <c r="B9" s="690"/>
      <c r="C9" s="1139"/>
      <c r="D9" s="1139"/>
      <c r="E9" s="1139"/>
      <c r="F9" s="1139"/>
      <c r="G9" s="973"/>
      <c r="H9" s="806"/>
      <c r="I9" s="1390"/>
      <c r="K9" s="1146"/>
      <c r="L9" s="1146"/>
      <c r="O9" s="322"/>
      <c r="P9" s="322"/>
      <c r="Q9" s="322"/>
      <c r="R9" s="322"/>
      <c r="S9" s="322"/>
      <c r="T9" s="322"/>
      <c r="U9" s="322"/>
    </row>
    <row r="10" spans="2:21" ht="21" customHeight="1">
      <c r="B10" s="690" t="s">
        <v>326</v>
      </c>
      <c r="C10" s="1139"/>
      <c r="D10" s="1139"/>
      <c r="E10" s="1139"/>
      <c r="F10" s="1139"/>
      <c r="G10" s="601"/>
      <c r="H10" s="1685" t="s">
        <v>787</v>
      </c>
      <c r="I10" s="1686"/>
      <c r="K10" s="1146"/>
      <c r="L10" s="1146"/>
      <c r="O10" s="322"/>
      <c r="P10" s="322"/>
      <c r="Q10" s="322"/>
      <c r="R10" s="322"/>
      <c r="S10" s="322"/>
      <c r="T10" s="322"/>
      <c r="U10" s="322"/>
    </row>
    <row r="11" spans="2:21" ht="21" customHeight="1" thickBot="1">
      <c r="B11" s="690" t="str">
        <f>'KEY INPUTS'!D28</f>
        <v>Outstanding - December 31, 2019</v>
      </c>
      <c r="C11" s="1139"/>
      <c r="D11" s="1139"/>
      <c r="E11" s="1139"/>
      <c r="F11" s="1139"/>
      <c r="G11" s="1089">
        <f>+H7+H8-G10</f>
        <v>0</v>
      </c>
      <c r="H11" s="1677" t="s">
        <v>787</v>
      </c>
      <c r="I11" s="1678"/>
      <c r="K11" s="1146"/>
      <c r="L11" s="1146"/>
      <c r="O11" s="322"/>
      <c r="P11" s="322"/>
      <c r="Q11" s="322"/>
      <c r="R11" s="322"/>
      <c r="S11" s="322"/>
      <c r="T11" s="322"/>
      <c r="U11" s="322"/>
    </row>
    <row r="12" spans="2:21" ht="21" customHeight="1" thickBot="1">
      <c r="B12" s="1114"/>
      <c r="C12" s="1146"/>
      <c r="D12" s="1146"/>
      <c r="E12" s="1146"/>
      <c r="F12" s="1146"/>
      <c r="G12" s="1083">
        <f>SUM(G7:G11)</f>
        <v>0</v>
      </c>
      <c r="H12" s="1683">
        <f>SUM(H7:I11)</f>
        <v>0</v>
      </c>
      <c r="I12" s="1684"/>
      <c r="K12" s="1146"/>
      <c r="L12" s="1146"/>
      <c r="O12" s="322"/>
      <c r="P12" s="322"/>
      <c r="Q12" s="322"/>
      <c r="R12" s="322"/>
      <c r="S12" s="322"/>
      <c r="T12" s="322"/>
      <c r="U12" s="322"/>
    </row>
    <row r="13" spans="2:21" ht="21" customHeight="1" thickTop="1">
      <c r="B13" s="1382" t="str">
        <f>TEXT('KEY INPUTS'!D34+1,"0")&amp;" Loan Maturities"</f>
        <v>2020 Loan Maturities</v>
      </c>
      <c r="C13" s="1391"/>
      <c r="D13" s="1391"/>
      <c r="E13" s="1391"/>
      <c r="F13" s="1391"/>
      <c r="G13" s="1391"/>
      <c r="H13" s="1391"/>
      <c r="I13" s="1392"/>
      <c r="J13" s="479" t="s">
        <v>482</v>
      </c>
      <c r="K13" s="1714"/>
      <c r="L13" s="1714"/>
      <c r="O13" s="322"/>
      <c r="P13" s="322"/>
      <c r="Q13" s="322"/>
      <c r="R13" s="322"/>
      <c r="S13" s="322"/>
      <c r="T13" s="322"/>
      <c r="U13" s="322"/>
    </row>
    <row r="14" spans="2:21" ht="21" customHeight="1" thickBot="1">
      <c r="B14" s="1383" t="str">
        <f>TEXT('KEY INPUTS'!D34+1,"0")&amp;" Interest on Loans"</f>
        <v>2020 Interest on Loans</v>
      </c>
      <c r="C14" s="1162"/>
      <c r="D14" s="1162"/>
      <c r="E14" s="1162"/>
      <c r="F14" s="1162"/>
      <c r="G14" s="1375"/>
      <c r="H14" s="413" t="s">
        <v>482</v>
      </c>
      <c r="I14" s="674"/>
      <c r="K14" s="1146"/>
      <c r="L14" s="1146"/>
      <c r="O14" s="322"/>
      <c r="P14" s="322"/>
      <c r="Q14" s="322"/>
      <c r="R14" s="322"/>
      <c r="S14" s="322"/>
      <c r="T14" s="322"/>
      <c r="U14" s="322"/>
    </row>
    <row r="15" spans="2:21" ht="16.5" customHeight="1" thickTop="1">
      <c r="B15" s="1956"/>
      <c r="C15" s="1956"/>
      <c r="D15" s="1956"/>
      <c r="E15" s="1956"/>
      <c r="F15" s="1956"/>
      <c r="G15" s="1956"/>
      <c r="H15" s="1956"/>
      <c r="I15" s="1957"/>
      <c r="K15" s="1146"/>
      <c r="L15" s="1146"/>
      <c r="O15" s="322"/>
      <c r="P15" s="322"/>
      <c r="Q15" s="322"/>
      <c r="R15" s="322"/>
      <c r="S15" s="322"/>
      <c r="T15" s="322"/>
      <c r="U15" s="322"/>
    </row>
    <row r="16" spans="2:21" ht="26.25" customHeight="1" thickBot="1">
      <c r="B16" s="1935" t="str">
        <f>UPPER('KEY INPUTS'!D$56)&amp;"  UTILITY"&amp;" ________________ LOAN"</f>
        <v xml:space="preserve">  UTILITY ________________ LOAN</v>
      </c>
      <c r="C16" s="1935"/>
      <c r="D16" s="1935"/>
      <c r="E16" s="1935"/>
      <c r="F16" s="1935"/>
      <c r="G16" s="1935"/>
      <c r="H16" s="1935"/>
      <c r="I16" s="1936"/>
      <c r="K16" s="1146"/>
      <c r="L16" s="1146"/>
      <c r="O16" s="322"/>
      <c r="P16" s="322"/>
      <c r="Q16" s="322"/>
      <c r="R16" s="322"/>
      <c r="S16" s="322"/>
      <c r="T16" s="322"/>
      <c r="U16" s="322"/>
    </row>
    <row r="17" spans="2:21" ht="21" customHeight="1" thickTop="1">
      <c r="B17" s="1211" t="str">
        <f>'KEY INPUTS'!D27</f>
        <v>Outstanding - January 1, 2019</v>
      </c>
      <c r="C17" s="1158"/>
      <c r="D17" s="1158"/>
      <c r="E17" s="1158"/>
      <c r="F17" s="1158"/>
      <c r="G17" s="1088" t="s">
        <v>787</v>
      </c>
      <c r="H17" s="1705"/>
      <c r="I17" s="1706"/>
      <c r="K17" s="1146"/>
      <c r="L17" s="1146"/>
      <c r="O17" s="322"/>
      <c r="P17" s="322"/>
      <c r="Q17" s="322"/>
      <c r="R17" s="322"/>
      <c r="S17" s="322"/>
      <c r="T17" s="322"/>
      <c r="U17" s="322"/>
    </row>
    <row r="18" spans="2:21" ht="21" customHeight="1">
      <c r="B18" s="690" t="s">
        <v>113</v>
      </c>
      <c r="C18" s="1139"/>
      <c r="D18" s="1139"/>
      <c r="E18" s="1139"/>
      <c r="F18" s="1139"/>
      <c r="G18" s="973" t="s">
        <v>787</v>
      </c>
      <c r="H18" s="1679"/>
      <c r="I18" s="1680"/>
      <c r="K18" s="1146"/>
      <c r="L18" s="1146"/>
      <c r="O18" s="322"/>
      <c r="P18" s="322"/>
      <c r="Q18" s="322"/>
      <c r="R18" s="322"/>
      <c r="S18" s="322"/>
      <c r="T18" s="322"/>
      <c r="U18" s="322"/>
    </row>
    <row r="19" spans="2:21" ht="21" customHeight="1">
      <c r="B19" s="690" t="s">
        <v>326</v>
      </c>
      <c r="C19" s="1139"/>
      <c r="D19" s="1139"/>
      <c r="E19" s="1139"/>
      <c r="F19" s="1139"/>
      <c r="G19" s="601"/>
      <c r="H19" s="1685" t="s">
        <v>787</v>
      </c>
      <c r="I19" s="1686"/>
      <c r="K19" s="1146"/>
      <c r="L19" s="1146"/>
      <c r="O19" s="322"/>
      <c r="P19" s="322"/>
      <c r="Q19" s="322"/>
      <c r="R19" s="322"/>
      <c r="S19" s="322"/>
      <c r="T19" s="322"/>
      <c r="U19" s="322"/>
    </row>
    <row r="20" spans="2:21" ht="21" customHeight="1">
      <c r="B20" s="690"/>
      <c r="C20" s="1139"/>
      <c r="D20" s="1139"/>
      <c r="E20" s="1139"/>
      <c r="F20" s="1139"/>
      <c r="G20" s="1105"/>
      <c r="H20" s="1707"/>
      <c r="I20" s="1708"/>
      <c r="K20" s="1146"/>
      <c r="L20" s="1146"/>
      <c r="O20" s="322"/>
      <c r="P20" s="322"/>
      <c r="Q20" s="322"/>
      <c r="R20" s="322"/>
      <c r="S20" s="322"/>
      <c r="T20" s="322"/>
      <c r="U20" s="322"/>
    </row>
    <row r="21" spans="2:21" ht="21" customHeight="1">
      <c r="B21" s="690"/>
      <c r="C21" s="1139"/>
      <c r="D21" s="1139"/>
      <c r="E21" s="1139"/>
      <c r="F21" s="1139"/>
      <c r="G21" s="1105"/>
      <c r="H21" s="1707"/>
      <c r="I21" s="1708"/>
      <c r="K21" s="1146"/>
      <c r="L21" s="1146"/>
      <c r="O21" s="322"/>
      <c r="P21" s="322"/>
      <c r="Q21" s="322"/>
      <c r="R21" s="322"/>
      <c r="S21" s="322"/>
      <c r="T21" s="322"/>
      <c r="U21" s="322"/>
    </row>
    <row r="22" spans="2:21" ht="21" customHeight="1" thickBot="1">
      <c r="B22" s="690" t="str">
        <f>'KEY INPUTS'!D28</f>
        <v>Outstanding - December 31, 2019</v>
      </c>
      <c r="C22" s="1139"/>
      <c r="D22" s="1139"/>
      <c r="E22" s="1139"/>
      <c r="F22" s="1139"/>
      <c r="G22" s="1089">
        <f>+H17+H18-G19-G20-G21+H20+H21</f>
        <v>0</v>
      </c>
      <c r="H22" s="1677" t="s">
        <v>787</v>
      </c>
      <c r="I22" s="1678"/>
      <c r="K22" s="1146"/>
      <c r="L22" s="1146"/>
      <c r="O22" s="322"/>
      <c r="P22" s="322"/>
      <c r="Q22" s="322"/>
      <c r="R22" s="322"/>
      <c r="S22" s="322"/>
      <c r="T22" s="322"/>
      <c r="U22" s="322"/>
    </row>
    <row r="23" spans="2:21" ht="21" customHeight="1" thickBot="1">
      <c r="B23" s="398"/>
      <c r="G23" s="1083">
        <f>SUM(G17:G22)</f>
        <v>0</v>
      </c>
      <c r="H23" s="1683">
        <f>SUM(H17:I22)</f>
        <v>0</v>
      </c>
      <c r="I23" s="1684"/>
      <c r="K23" s="1146"/>
      <c r="L23" s="1146"/>
    </row>
    <row r="24" spans="2:21" ht="21" customHeight="1" thickTop="1">
      <c r="B24" s="1382" t="str">
        <f>TEXT('KEY INPUTS'!D34+1,"0")&amp;" Loan Maturities"</f>
        <v>2020 Loan Maturities</v>
      </c>
      <c r="C24" s="1391"/>
      <c r="D24" s="1391"/>
      <c r="E24" s="1391"/>
      <c r="F24" s="1391"/>
      <c r="G24" s="1391"/>
      <c r="H24" s="479"/>
      <c r="I24" s="1392"/>
      <c r="J24" s="479" t="s">
        <v>482</v>
      </c>
      <c r="K24" s="1714"/>
      <c r="L24" s="1714"/>
    </row>
    <row r="25" spans="2:21" ht="21" customHeight="1" thickBot="1">
      <c r="B25" s="1383" t="str">
        <f>TEXT('KEY INPUTS'!D34+1,"0")&amp;" Interest on Loans"</f>
        <v>2020 Interest on Loans</v>
      </c>
      <c r="C25" s="1162"/>
      <c r="D25" s="1162"/>
      <c r="E25" s="1162"/>
      <c r="F25" s="1162"/>
      <c r="G25" s="1375"/>
      <c r="H25" s="413" t="s">
        <v>482</v>
      </c>
      <c r="I25" s="608"/>
      <c r="J25" s="505"/>
      <c r="K25" s="1162"/>
      <c r="L25" s="1162"/>
    </row>
    <row r="26" spans="2:21" ht="21" customHeight="1" thickTop="1">
      <c r="B26" s="1146"/>
      <c r="C26" s="1146"/>
      <c r="D26" s="1146"/>
      <c r="E26" s="1146"/>
      <c r="F26" s="1146"/>
      <c r="G26" s="1146"/>
      <c r="H26" s="1146"/>
      <c r="I26" s="1146"/>
      <c r="J26" s="1146"/>
      <c r="K26" s="1146"/>
      <c r="L26" s="1146"/>
    </row>
    <row r="27" spans="2:21" ht="19.5" customHeight="1" thickBot="1">
      <c r="B27" s="1935" t="str">
        <f>"INTEREST  ON  LOANS  - "&amp;UPPER('KEY INPUTS'!D56)&amp;"  UTILITY  BUDGET"</f>
        <v>INTEREST  ON  LOANS  -   UTILITY  BUDGET</v>
      </c>
      <c r="C27" s="1935"/>
      <c r="D27" s="1935"/>
      <c r="E27" s="1935"/>
      <c r="F27" s="1935"/>
      <c r="G27" s="1935"/>
      <c r="H27" s="1935"/>
      <c r="I27" s="1935"/>
      <c r="J27" s="1935"/>
      <c r="K27" s="1935"/>
      <c r="L27" s="1935"/>
    </row>
    <row r="28" spans="2:21" ht="21" customHeight="1" thickTop="1">
      <c r="B28" s="1394" t="str">
        <f>TEXT('KEY INPUTS'!D34+1,"0")&amp;" Interest on Loans (*Items)"</f>
        <v>2020 Interest on Loans (*Items)</v>
      </c>
      <c r="C28" s="1170"/>
      <c r="D28" s="1158"/>
      <c r="E28" s="1158"/>
      <c r="F28" s="1158"/>
      <c r="G28" s="1158"/>
      <c r="H28" s="1158" t="s">
        <v>482</v>
      </c>
      <c r="I28" s="1393">
        <f>+I25+I14</f>
        <v>0</v>
      </c>
      <c r="J28" s="1146"/>
      <c r="K28" s="1146"/>
      <c r="L28" s="1146"/>
    </row>
    <row r="29" spans="2:21" ht="21" customHeight="1">
      <c r="B29" s="914" t="str">
        <f>"Less: Interest Accrued to "&amp;TEXT('KEY INPUTS'!D29,"mm/dd/yyy")&amp;" (Trial Balance)"</f>
        <v>Less: Interest Accrued to 12/31/2019 (Trial Balance)</v>
      </c>
      <c r="C29" s="690"/>
      <c r="D29" s="1139"/>
      <c r="E29" s="1139"/>
      <c r="F29" s="1139"/>
      <c r="G29" s="1139"/>
      <c r="H29" s="334" t="s">
        <v>482</v>
      </c>
      <c r="I29" s="600"/>
      <c r="K29" s="1146"/>
      <c r="L29" s="1146"/>
    </row>
    <row r="30" spans="2:21" ht="21" customHeight="1">
      <c r="B30" s="690"/>
      <c r="C30" s="690" t="s">
        <v>421</v>
      </c>
      <c r="D30" s="1139"/>
      <c r="E30" s="1139"/>
      <c r="F30" s="1139"/>
      <c r="G30" s="1139"/>
      <c r="H30" s="334" t="s">
        <v>482</v>
      </c>
      <c r="I30" s="512">
        <f>+I28-I29</f>
        <v>0</v>
      </c>
      <c r="K30" s="1146"/>
      <c r="L30" s="1146"/>
    </row>
    <row r="31" spans="2:21" ht="21" customHeight="1">
      <c r="B31" s="914" t="str">
        <f>"Add: Interest to be Accrued as of "&amp;TEXT('KEY INPUTS'!D30,"mm/dd/yyyy")&amp;""</f>
        <v>Add: Interest to be Accrued as of 12/31/2020</v>
      </c>
      <c r="C31" s="690"/>
      <c r="D31" s="1139"/>
      <c r="E31" s="1139"/>
      <c r="F31" s="1139"/>
      <c r="G31" s="1139"/>
      <c r="H31" s="334" t="s">
        <v>482</v>
      </c>
      <c r="I31" s="600"/>
      <c r="K31" s="1146"/>
      <c r="L31" s="1146"/>
    </row>
    <row r="32" spans="2:21" ht="21" customHeight="1">
      <c r="B32" s="914" t="str">
        <f>"Required Appropriation "&amp;TEXT('KEY INPUTS'!D34+1,"0")</f>
        <v>Required Appropriation 2020</v>
      </c>
      <c r="C32" s="690"/>
      <c r="D32" s="1139"/>
      <c r="E32" s="1139"/>
      <c r="F32" s="1139"/>
      <c r="G32" s="1139"/>
      <c r="H32" s="334"/>
      <c r="I32" s="1165"/>
      <c r="J32" s="506" t="s">
        <v>482</v>
      </c>
      <c r="K32" s="1939">
        <f>+I30+I31</f>
        <v>0</v>
      </c>
      <c r="L32" s="1940"/>
    </row>
    <row r="33" spans="2:12" ht="13.5" customHeight="1">
      <c r="B33" s="1262"/>
      <c r="C33" s="1262"/>
      <c r="D33" s="1262"/>
      <c r="E33" s="1262"/>
      <c r="F33" s="1262"/>
      <c r="G33" s="1262"/>
      <c r="H33" s="1262"/>
      <c r="I33" s="1262"/>
      <c r="J33" s="1262"/>
      <c r="K33" s="1429"/>
      <c r="L33" s="1270"/>
    </row>
    <row r="34" spans="2:12" ht="13.5" customHeight="1">
      <c r="B34" s="1262"/>
      <c r="C34" s="1262"/>
      <c r="D34" s="1262"/>
      <c r="E34" s="1262"/>
      <c r="F34" s="1262"/>
      <c r="G34" s="1262"/>
      <c r="H34" s="1262"/>
      <c r="I34" s="1262"/>
      <c r="J34" s="1262"/>
      <c r="K34" s="1429"/>
      <c r="L34" s="1270"/>
    </row>
    <row r="35" spans="2:12" ht="21" customHeight="1" thickBot="1">
      <c r="B35" s="1938" t="str">
        <f>"LIST  OF  LOANS  ISSUED  DURING  "&amp;TEXT('KEY INPUTS'!D34,"0")&amp;""</f>
        <v>LIST  OF  LOANS  ISSUED  DURING  2019</v>
      </c>
      <c r="C35" s="1938"/>
      <c r="D35" s="1938"/>
      <c r="E35" s="1938"/>
      <c r="F35" s="1938"/>
      <c r="G35" s="1938"/>
      <c r="H35" s="1938"/>
      <c r="I35" s="1938"/>
      <c r="J35" s="1938"/>
      <c r="K35" s="1938"/>
      <c r="L35" s="1938"/>
    </row>
    <row r="36" spans="2:12" ht="27" customHeight="1" thickTop="1" thickBot="1">
      <c r="B36" s="1785" t="s">
        <v>532</v>
      </c>
      <c r="C36" s="1785"/>
      <c r="D36" s="1785"/>
      <c r="E36" s="1785"/>
      <c r="F36" s="1785"/>
      <c r="G36" s="1397" t="str">
        <f>TEXT('KEY INPUTS'!D34,"0")&amp;" Maturity"</f>
        <v>2019 Maturity</v>
      </c>
      <c r="H36" s="1937" t="s">
        <v>109</v>
      </c>
      <c r="I36" s="1786"/>
      <c r="J36" s="1941" t="s">
        <v>107</v>
      </c>
      <c r="K36" s="1942"/>
      <c r="L36" s="1398"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162"/>
      <c r="C41" s="1162"/>
      <c r="D41" s="1162"/>
      <c r="E41" s="1162"/>
      <c r="F41" s="1163"/>
      <c r="G41" s="1083">
        <f>SUM(G37:G40)</f>
        <v>0</v>
      </c>
      <c r="H41" s="1703">
        <f>SUM(H37:I40)</f>
        <v>0</v>
      </c>
      <c r="I41" s="1704"/>
      <c r="J41" s="1396"/>
      <c r="K41" s="1162"/>
      <c r="L41" s="1156"/>
    </row>
    <row r="42" spans="2:12" ht="13.8" thickTop="1">
      <c r="G42" s="504"/>
      <c r="H42" s="504"/>
      <c r="I42" s="504"/>
    </row>
    <row r="51" spans="2:12" ht="13.8">
      <c r="B51" s="1812" t="s">
        <v>3650</v>
      </c>
      <c r="C51" s="1812"/>
      <c r="D51" s="1812"/>
      <c r="E51" s="1812"/>
      <c r="F51" s="1812"/>
      <c r="G51" s="1812"/>
      <c r="H51" s="1812"/>
      <c r="I51" s="1812"/>
      <c r="J51" s="1812"/>
      <c r="K51" s="1812"/>
      <c r="L51" s="1812"/>
    </row>
  </sheetData>
  <sheetProtection algorithmName="SHA-512" hashValue="krJkv740EvNmYEriqoL2dj7Xu21q4+ph2WsPfIn2xeotySWvrL1U9tkqaUW3SWcc4dVpGzVyn/8E1cV1tnyEpQ==" saltValue="BFWlWFSmHVD1Mljo0jc8RA=="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codeName="Sheet260">
    <tabColor theme="7" tint="0.39997558519241921"/>
  </sheetPr>
  <dimension ref="A2:V30"/>
  <sheetViews>
    <sheetView zoomScaleNormal="100" zoomScaleSheetLayoutView="80" workbookViewId="0">
      <selection activeCell="M26" sqref="M26"/>
    </sheetView>
  </sheetViews>
  <sheetFormatPr defaultColWidth="8.88671875" defaultRowHeight="13.2"/>
  <cols>
    <col min="1" max="1" width="5.6640625" style="398" customWidth="1"/>
    <col min="2" max="3" width="4.88671875" style="398" customWidth="1"/>
    <col min="4" max="4" width="30.44140625" style="398" customWidth="1"/>
    <col min="5" max="11" width="15.6640625" style="398" customWidth="1"/>
    <col min="12" max="12" width="1.6640625" style="398" customWidth="1"/>
    <col min="13" max="13" width="12.6640625" style="398" customWidth="1"/>
    <col min="14" max="16384" width="8.88671875" style="398"/>
  </cols>
  <sheetData>
    <row r="2" spans="1:22" ht="20.399999999999999">
      <c r="B2" s="1788" t="str">
        <f>"DEBT  SERVICE  FOR  "&amp;UPPER('KEY INPUTS'!D56)&amp;"  UTILITY  NOTES  (OTHER  THAN  UTILITY  ASSESSMENT  NOTES)"</f>
        <v>DEBT  SERVICE  FOR    UTILITY  NOTES  (OTHER  THAN  UTILITY  ASSESSMENT  NOTES)</v>
      </c>
      <c r="C2" s="1788"/>
      <c r="D2" s="1788"/>
      <c r="E2" s="1788"/>
      <c r="F2" s="1788"/>
      <c r="G2" s="1788"/>
      <c r="H2" s="1788"/>
      <c r="I2" s="1788"/>
      <c r="J2" s="1788"/>
      <c r="K2" s="1788"/>
      <c r="L2" s="1788"/>
      <c r="M2" s="1788"/>
    </row>
    <row r="3" spans="1:22" ht="21" thickBot="1">
      <c r="B3" s="1788"/>
      <c r="C3" s="1788"/>
      <c r="D3" s="1788"/>
      <c r="E3" s="1788"/>
      <c r="F3" s="1788"/>
      <c r="G3" s="1788"/>
      <c r="H3" s="1788"/>
      <c r="I3" s="1788"/>
      <c r="J3" s="1788"/>
      <c r="K3" s="1788"/>
      <c r="L3" s="1788"/>
      <c r="M3" s="1788"/>
    </row>
    <row r="4" spans="1:22" ht="13.5" customHeight="1" thickTop="1">
      <c r="B4" s="1237"/>
      <c r="C4" s="1237"/>
      <c r="D4" s="1237"/>
      <c r="E4" s="1238"/>
      <c r="F4" s="1238"/>
      <c r="G4" s="1238"/>
      <c r="H4" s="1238"/>
      <c r="I4" s="1238"/>
      <c r="J4" s="1237"/>
      <c r="K4" s="1239"/>
      <c r="L4" s="1237"/>
      <c r="M4" s="1240"/>
    </row>
    <row r="5" spans="1:22" ht="13.5" customHeight="1">
      <c r="B5" s="1114"/>
      <c r="C5" s="1114"/>
      <c r="D5" s="1114"/>
      <c r="E5" s="1241" t="s">
        <v>176</v>
      </c>
      <c r="F5" s="1242" t="s">
        <v>176</v>
      </c>
      <c r="G5" s="1242" t="s">
        <v>533</v>
      </c>
      <c r="H5" s="1242" t="s">
        <v>18</v>
      </c>
      <c r="I5" s="1242" t="s">
        <v>684</v>
      </c>
      <c r="J5" s="1866">
        <f>'KEY INPUTS'!D33</f>
        <v>2020</v>
      </c>
      <c r="K5" s="1867"/>
      <c r="L5" s="1269"/>
      <c r="M5" s="1244" t="s">
        <v>685</v>
      </c>
    </row>
    <row r="6" spans="1:22" ht="13.5" customHeight="1">
      <c r="B6" s="1114"/>
      <c r="C6" s="1864" t="s">
        <v>175</v>
      </c>
      <c r="D6" s="1865"/>
      <c r="E6" s="1241" t="s">
        <v>533</v>
      </c>
      <c r="F6" s="1242" t="s">
        <v>177</v>
      </c>
      <c r="G6" s="1242" t="s">
        <v>681</v>
      </c>
      <c r="H6" s="1242" t="s">
        <v>682</v>
      </c>
      <c r="I6" s="1242" t="s">
        <v>682</v>
      </c>
      <c r="J6" s="1868"/>
      <c r="K6" s="1869"/>
      <c r="L6" s="1245"/>
      <c r="M6" s="1244" t="s">
        <v>688</v>
      </c>
    </row>
    <row r="7" spans="1:22" ht="13.5" customHeight="1">
      <c r="B7" s="1114"/>
      <c r="C7" s="1114"/>
      <c r="D7" s="1114"/>
      <c r="E7" s="1241" t="s">
        <v>113</v>
      </c>
      <c r="F7" s="1241" t="s">
        <v>178</v>
      </c>
      <c r="G7" s="1241" t="s">
        <v>257</v>
      </c>
      <c r="H7" s="1241" t="s">
        <v>683</v>
      </c>
      <c r="I7" s="1241" t="s">
        <v>685</v>
      </c>
      <c r="J7" s="1241" t="s">
        <v>142</v>
      </c>
      <c r="K7" s="1241" t="s">
        <v>686</v>
      </c>
      <c r="L7" s="1242"/>
      <c r="M7" s="1244" t="s">
        <v>689</v>
      </c>
    </row>
    <row r="8" spans="1:22" ht="13.5" customHeight="1" thickBot="1">
      <c r="B8" s="1169"/>
      <c r="C8" s="1169"/>
      <c r="D8" s="1169"/>
      <c r="E8" s="1246"/>
      <c r="F8" s="1246"/>
      <c r="G8" s="1247" t="str">
        <f>'KEY INPUTS'!D46</f>
        <v>Dec. 31, 2019</v>
      </c>
      <c r="H8" s="1246"/>
      <c r="I8" s="1246"/>
      <c r="J8" s="1248"/>
      <c r="K8" s="1249"/>
      <c r="L8" s="1250"/>
      <c r="M8" s="1251"/>
      <c r="P8" s="322"/>
      <c r="Q8" s="322"/>
      <c r="R8" s="322"/>
      <c r="S8" s="322"/>
      <c r="T8" s="322"/>
      <c r="U8" s="322"/>
      <c r="V8" s="322"/>
    </row>
    <row r="9" spans="1:22" ht="21" customHeight="1" thickTop="1">
      <c r="B9" s="537" t="s">
        <v>384</v>
      </c>
      <c r="C9" s="675"/>
      <c r="D9" s="676"/>
      <c r="E9" s="618"/>
      <c r="F9" s="1468"/>
      <c r="G9" s="618"/>
      <c r="H9" s="678"/>
      <c r="I9" s="620"/>
      <c r="J9" s="618"/>
      <c r="K9" s="618"/>
      <c r="L9" s="629"/>
      <c r="M9" s="679"/>
      <c r="P9" s="322"/>
      <c r="Q9" s="322"/>
      <c r="R9" s="322"/>
      <c r="S9" s="322"/>
      <c r="T9" s="322"/>
      <c r="U9" s="322"/>
      <c r="V9" s="322"/>
    </row>
    <row r="10" spans="1:22" ht="21" customHeight="1">
      <c r="B10" s="536" t="s">
        <v>385</v>
      </c>
      <c r="C10" s="680"/>
      <c r="D10" s="652"/>
      <c r="E10" s="601"/>
      <c r="F10" s="1469"/>
      <c r="G10" s="601"/>
      <c r="H10" s="601"/>
      <c r="I10" s="682"/>
      <c r="J10" s="683"/>
      <c r="K10" s="601"/>
      <c r="L10" s="631"/>
      <c r="M10" s="684"/>
      <c r="N10" s="398" t="s">
        <v>3406</v>
      </c>
      <c r="O10" s="398" t="s">
        <v>3406</v>
      </c>
      <c r="P10" s="377"/>
      <c r="Q10" s="322"/>
      <c r="R10" s="322"/>
      <c r="S10" s="322"/>
      <c r="T10" s="322"/>
      <c r="U10" s="322"/>
      <c r="V10" s="322"/>
    </row>
    <row r="11" spans="1:22" ht="21" customHeight="1">
      <c r="B11" s="536" t="s">
        <v>386</v>
      </c>
      <c r="C11" s="648"/>
      <c r="D11" s="652"/>
      <c r="E11" s="601"/>
      <c r="F11" s="1470"/>
      <c r="G11" s="601"/>
      <c r="H11" s="601"/>
      <c r="I11" s="623"/>
      <c r="J11" s="601"/>
      <c r="K11" s="601"/>
      <c r="L11" s="631"/>
      <c r="M11" s="684"/>
      <c r="P11" s="322"/>
      <c r="Q11" s="322"/>
      <c r="R11" s="322"/>
      <c r="S11" s="322"/>
      <c r="T11" s="322"/>
      <c r="U11" s="322"/>
      <c r="V11" s="322"/>
    </row>
    <row r="12" spans="1:22" ht="21" customHeight="1">
      <c r="B12" s="536" t="s">
        <v>387</v>
      </c>
      <c r="C12" s="648"/>
      <c r="D12" s="652"/>
      <c r="E12" s="601"/>
      <c r="F12" s="1470"/>
      <c r="G12" s="601"/>
      <c r="H12" s="601"/>
      <c r="I12" s="623"/>
      <c r="J12" s="601"/>
      <c r="K12" s="601"/>
      <c r="L12" s="631"/>
      <c r="M12" s="684"/>
      <c r="P12" s="322"/>
      <c r="Q12" s="322"/>
      <c r="R12" s="322"/>
      <c r="S12" s="322"/>
      <c r="T12" s="322"/>
      <c r="U12" s="322"/>
      <c r="V12" s="322"/>
    </row>
    <row r="13" spans="1:22" ht="21" customHeight="1">
      <c r="B13" s="536" t="s">
        <v>388</v>
      </c>
      <c r="C13" s="648"/>
      <c r="D13" s="652"/>
      <c r="E13" s="601"/>
      <c r="F13" s="1470"/>
      <c r="G13" s="601"/>
      <c r="H13" s="601"/>
      <c r="I13" s="623"/>
      <c r="J13" s="601"/>
      <c r="K13" s="601"/>
      <c r="L13" s="631"/>
      <c r="M13" s="684"/>
      <c r="P13" s="322"/>
      <c r="Q13" s="322"/>
      <c r="R13" s="322"/>
      <c r="S13" s="322"/>
      <c r="T13" s="322"/>
      <c r="U13" s="322"/>
      <c r="V13" s="322"/>
    </row>
    <row r="14" spans="1:22" ht="21" customHeight="1">
      <c r="B14" s="536" t="s">
        <v>389</v>
      </c>
      <c r="C14" s="648"/>
      <c r="D14" s="652"/>
      <c r="E14" s="604"/>
      <c r="F14" s="1471"/>
      <c r="G14" s="604"/>
      <c r="H14" s="604"/>
      <c r="I14" s="626"/>
      <c r="J14" s="601"/>
      <c r="K14" s="601"/>
      <c r="L14" s="631"/>
      <c r="M14" s="684"/>
      <c r="P14" s="322"/>
      <c r="Q14" s="322"/>
      <c r="R14" s="322"/>
      <c r="S14" s="322"/>
      <c r="T14" s="322"/>
      <c r="U14" s="322"/>
      <c r="V14" s="322"/>
    </row>
    <row r="15" spans="1:22" ht="21" customHeight="1">
      <c r="A15" s="1863" t="s">
        <v>3446</v>
      </c>
      <c r="B15" s="536" t="s">
        <v>390</v>
      </c>
      <c r="C15" s="687"/>
      <c r="D15" s="688"/>
      <c r="E15" s="601"/>
      <c r="F15" s="1470"/>
      <c r="G15" s="601"/>
      <c r="H15" s="601"/>
      <c r="I15" s="623"/>
      <c r="J15" s="601"/>
      <c r="K15" s="601"/>
      <c r="L15" s="631"/>
      <c r="M15" s="684"/>
      <c r="P15" s="322"/>
      <c r="Q15" s="322"/>
      <c r="R15" s="322"/>
      <c r="S15" s="322"/>
      <c r="T15" s="322"/>
      <c r="U15" s="322"/>
      <c r="V15" s="322"/>
    </row>
    <row r="16" spans="1:22" ht="21" customHeight="1">
      <c r="A16" s="1863"/>
      <c r="B16" s="536" t="s">
        <v>501</v>
      </c>
      <c r="C16" s="648"/>
      <c r="D16" s="652"/>
      <c r="E16" s="601"/>
      <c r="F16" s="1470"/>
      <c r="G16" s="601"/>
      <c r="H16" s="601"/>
      <c r="I16" s="623"/>
      <c r="J16" s="601"/>
      <c r="K16" s="601"/>
      <c r="L16" s="631"/>
      <c r="M16" s="684"/>
      <c r="P16" s="322"/>
      <c r="Q16" s="322"/>
      <c r="R16" s="322"/>
      <c r="S16" s="322"/>
      <c r="T16" s="322"/>
      <c r="U16" s="322"/>
      <c r="V16" s="322"/>
    </row>
    <row r="17" spans="1:22" ht="21" customHeight="1">
      <c r="A17" s="1863"/>
      <c r="B17" s="536" t="s">
        <v>502</v>
      </c>
      <c r="C17" s="648"/>
      <c r="D17" s="652"/>
      <c r="E17" s="601"/>
      <c r="F17" s="1470"/>
      <c r="G17" s="601"/>
      <c r="H17" s="601"/>
      <c r="I17" s="623"/>
      <c r="J17" s="601"/>
      <c r="K17" s="601"/>
      <c r="L17" s="631"/>
      <c r="M17" s="684"/>
      <c r="P17" s="322"/>
      <c r="Q17" s="322"/>
      <c r="R17" s="322"/>
      <c r="S17" s="322"/>
      <c r="T17" s="322"/>
      <c r="U17" s="322"/>
      <c r="V17" s="322"/>
    </row>
    <row r="18" spans="1:22" ht="21" customHeight="1">
      <c r="A18" s="535"/>
      <c r="B18" s="696" t="s">
        <v>987</v>
      </c>
      <c r="C18" s="690"/>
      <c r="D18" s="691"/>
      <c r="E18" s="689">
        <f>SUM(E9:E17)</f>
        <v>0</v>
      </c>
      <c r="F18" s="692"/>
      <c r="G18" s="689">
        <f>SUM(G9:G17)</f>
        <v>0</v>
      </c>
      <c r="H18" s="689"/>
      <c r="I18" s="693"/>
      <c r="J18" s="689">
        <f>SUM(J9:J17)</f>
        <v>0</v>
      </c>
      <c r="K18" s="689">
        <f>SUM(K9:K17)</f>
        <v>0</v>
      </c>
      <c r="L18" s="694"/>
      <c r="M18" s="695"/>
      <c r="P18" s="322"/>
      <c r="Q18" s="322"/>
      <c r="R18" s="322"/>
      <c r="S18" s="322"/>
      <c r="T18" s="322"/>
      <c r="U18" s="322"/>
      <c r="V18" s="322"/>
    </row>
    <row r="19" spans="1:22" ht="21" customHeight="1">
      <c r="A19" s="535"/>
      <c r="B19" s="1352"/>
      <c r="C19" s="1192"/>
      <c r="D19" s="1192"/>
      <c r="E19" s="1353"/>
      <c r="F19" s="1192"/>
      <c r="G19" s="1353"/>
      <c r="H19" s="1353"/>
      <c r="I19" s="1354"/>
      <c r="J19" s="1353"/>
      <c r="K19" s="1353"/>
      <c r="L19" s="1353"/>
      <c r="M19" s="1192"/>
      <c r="P19" s="322"/>
      <c r="Q19" s="322"/>
      <c r="R19" s="322"/>
      <c r="S19" s="322"/>
      <c r="T19" s="322"/>
      <c r="U19" s="322"/>
      <c r="V19" s="322"/>
    </row>
    <row r="20" spans="1:22" ht="21" customHeight="1">
      <c r="A20" s="535"/>
      <c r="B20" s="1352"/>
      <c r="C20" s="1192"/>
      <c r="D20" s="1192"/>
      <c r="E20" s="1353"/>
      <c r="F20" s="1192"/>
      <c r="G20" s="1353"/>
      <c r="H20" s="1353"/>
      <c r="I20" s="1354"/>
      <c r="J20" s="1353"/>
      <c r="K20" s="1353"/>
      <c r="L20" s="1353"/>
      <c r="M20" s="1192"/>
      <c r="P20" s="322"/>
      <c r="Q20" s="322"/>
      <c r="R20" s="322"/>
      <c r="S20" s="322"/>
      <c r="T20" s="322"/>
      <c r="U20" s="322"/>
      <c r="V20" s="322"/>
    </row>
    <row r="21" spans="1:22" ht="13.5" customHeight="1" thickBot="1">
      <c r="B21" s="1355"/>
      <c r="C21" s="1356"/>
      <c r="D21" s="1357"/>
      <c r="E21" s="1192"/>
      <c r="F21" s="1192"/>
      <c r="G21" s="1192"/>
      <c r="H21" s="1192"/>
      <c r="I21" s="1192"/>
      <c r="J21" s="1358"/>
      <c r="K21" s="1192"/>
      <c r="L21" s="1192"/>
      <c r="M21" s="1192"/>
      <c r="P21" s="322"/>
      <c r="Q21" s="322"/>
      <c r="R21" s="322"/>
      <c r="S21" s="322"/>
      <c r="T21" s="322"/>
      <c r="U21" s="322"/>
      <c r="V21" s="322"/>
    </row>
    <row r="22" spans="1:22" ht="14.4" thickTop="1" thickBot="1">
      <c r="B22" s="1220" t="s">
        <v>44</v>
      </c>
      <c r="C22" s="1119"/>
      <c r="D22" s="1359"/>
      <c r="E22" s="1119"/>
      <c r="F22" s="1114"/>
      <c r="G22" s="1114"/>
      <c r="H22" s="1114"/>
      <c r="I22" s="1860" t="str">
        <f>"INTEREST  ON  NOTES  -  "&amp;UPPER('KEY INPUTS'!D56)&amp;" UTILITY  BUDGET"</f>
        <v>INTEREST  ON  NOTES  -   UTILITY  BUDGET</v>
      </c>
      <c r="J22" s="1861"/>
      <c r="K22" s="1861"/>
      <c r="L22" s="1861"/>
      <c r="M22" s="1862"/>
      <c r="P22" s="322"/>
      <c r="Q22" s="322"/>
      <c r="R22" s="322"/>
      <c r="S22" s="322"/>
      <c r="T22" s="322"/>
      <c r="U22" s="322"/>
      <c r="V22" s="322"/>
    </row>
    <row r="23" spans="1:22" ht="15.6" customHeight="1">
      <c r="B23" s="1360" t="s">
        <v>45</v>
      </c>
      <c r="C23" s="1360"/>
      <c r="D23" s="1220" t="s">
        <v>46</v>
      </c>
      <c r="E23" s="1119"/>
      <c r="F23" s="1114"/>
      <c r="G23" s="1114"/>
      <c r="H23" s="1114"/>
      <c r="I23" s="1361" t="str">
        <f>TEXT('KEY INPUTS'!D34+1,"0")&amp;"  Interest on Notes"</f>
        <v>2020  Interest on Notes</v>
      </c>
      <c r="J23" s="1191"/>
      <c r="K23" s="1191"/>
      <c r="L23" s="526" t="s">
        <v>482</v>
      </c>
      <c r="M23" s="1234">
        <f>K18</f>
        <v>0</v>
      </c>
      <c r="P23" s="322"/>
      <c r="Q23" s="322"/>
      <c r="R23" s="322"/>
      <c r="S23" s="322"/>
      <c r="T23" s="322"/>
      <c r="U23" s="322"/>
      <c r="V23" s="322"/>
    </row>
    <row r="24" spans="1:22" ht="15.6" customHeight="1">
      <c r="B24" s="1220"/>
      <c r="C24" s="1220"/>
      <c r="D24" s="1360" t="s">
        <v>47</v>
      </c>
      <c r="E24" s="1119"/>
      <c r="F24" s="1114"/>
      <c r="G24" s="1114"/>
      <c r="H24" s="1114"/>
      <c r="I24" s="1415" t="str">
        <f>"Less: Interest Accrued to "&amp;TEXT('KEY INPUTS'!D29,"mm/dd/yyyy")&amp;" (Trial Balance)"</f>
        <v>Less: Interest Accrued to 12/31/2019 (Trial Balance)</v>
      </c>
      <c r="J24" s="690"/>
      <c r="K24" s="690"/>
      <c r="L24" s="524" t="s">
        <v>482</v>
      </c>
      <c r="M24" s="672"/>
      <c r="P24" s="322"/>
      <c r="Q24" s="322"/>
      <c r="R24" s="322"/>
      <c r="S24" s="322"/>
      <c r="T24" s="322"/>
      <c r="U24" s="322"/>
      <c r="V24" s="322"/>
    </row>
    <row r="25" spans="1:22" ht="15.6" customHeight="1">
      <c r="B25" s="1220"/>
      <c r="C25" s="1220"/>
      <c r="D25" s="1220" t="s">
        <v>48</v>
      </c>
      <c r="E25" s="1119"/>
      <c r="F25" s="1114"/>
      <c r="G25" s="1114"/>
      <c r="H25" s="1114"/>
      <c r="I25" s="1121"/>
      <c r="J25" s="690" t="s">
        <v>421</v>
      </c>
      <c r="K25" s="690"/>
      <c r="L25" s="524" t="s">
        <v>482</v>
      </c>
      <c r="M25" s="1235">
        <f>+M23-M24</f>
        <v>0</v>
      </c>
    </row>
    <row r="26" spans="1:22" ht="15.6" customHeight="1">
      <c r="B26" s="1220"/>
      <c r="C26" s="1220"/>
      <c r="D26" s="1220" t="str">
        <f>"All notes with an original date of issue of 2016"&amp;" or prior require one legally payable installment to be budgeted if it"</f>
        <v>All notes with an original date of issue of 2016 or prior require one legally payable installment to be budgeted if it</v>
      </c>
      <c r="E26" s="1119"/>
      <c r="F26" s="1114"/>
      <c r="G26" s="1114"/>
      <c r="H26" s="1114"/>
      <c r="I26" s="1415" t="str">
        <f>"Add: Interest to be Accrued as of "&amp;TEXT('KEY INPUTS'!D29,"mm/dd/yyyy")&amp;""</f>
        <v>Add: Interest to be Accrued as of 12/31/2019</v>
      </c>
      <c r="J26" s="690"/>
      <c r="K26" s="690"/>
      <c r="L26" s="524" t="s">
        <v>482</v>
      </c>
      <c r="M26" s="672"/>
    </row>
    <row r="27" spans="1:22" ht="15.6" customHeight="1" thickBot="1">
      <c r="B27" s="1220"/>
      <c r="C27" s="1220"/>
      <c r="D27" s="1220" t="str">
        <f>"is contemplated that such notes will be renewed in "&amp;TEXT('KEY INPUTS'!D34+1,"0")&amp;" or written intent of permanent financing submitted."</f>
        <v>is contemplated that such notes will be renewed in 2020 or written intent of permanent financing submitted.</v>
      </c>
      <c r="E27" s="1119"/>
      <c r="F27" s="1114"/>
      <c r="G27" s="1114"/>
      <c r="H27" s="1114"/>
      <c r="I27" s="1416" t="str">
        <f>"Required Appropriation - "&amp;TEXT('KEY INPUTS'!D34+1,"0")&amp;""</f>
        <v>Required Appropriation - 2020</v>
      </c>
      <c r="J27" s="1169"/>
      <c r="K27" s="1169"/>
      <c r="L27" s="522" t="s">
        <v>482</v>
      </c>
      <c r="M27" s="1236">
        <f>+M25+M26</f>
        <v>0</v>
      </c>
    </row>
    <row r="28" spans="1:22" ht="13.8" thickTop="1">
      <c r="B28" s="1220"/>
      <c r="C28" s="1220"/>
      <c r="D28" s="1220" t="s">
        <v>49</v>
      </c>
      <c r="E28" s="1119"/>
      <c r="F28" s="1114"/>
      <c r="G28" s="1114"/>
      <c r="H28" s="1114"/>
      <c r="I28" s="1114"/>
    </row>
    <row r="29" spans="1:22">
      <c r="B29" s="519"/>
      <c r="C29" s="519"/>
      <c r="D29" s="1360" t="s">
        <v>50</v>
      </c>
      <c r="E29" s="519"/>
    </row>
    <row r="30" spans="1:22">
      <c r="J30" s="1358" t="s">
        <v>127</v>
      </c>
      <c r="K30" s="1114"/>
      <c r="L30" s="1114"/>
      <c r="M30" s="1114"/>
    </row>
  </sheetData>
  <sheetProtection algorithmName="SHA-512" hashValue="rtQFR8DTzblOTUu+AgfEz2xbMTYZNdjD0iACu9biUqAmt/R1dbYjaKS/tBffV4SJ/rPYa4qXPTKgMgRm3siV8Q==" saltValue="m+5jWZJaAm7BKD8q49vGZQ==" spinCount="100000" sheet="1" objects="1" scenarios="1"/>
  <customSheetViews>
    <customSheetView guid="{AC653BD0-46E3-42CB-9C76-32121A57B65A}">
      <selection activeCell="M26" sqref="M26"/>
      <pageMargins left="0.25" right="0.25" top="0.5" bottom="0.5" header="0.25" footer="0.25"/>
      <pageSetup paperSize="5" orientation="landscape" r:id="rId1"/>
      <headerFooter alignWithMargins="0"/>
    </customSheetView>
    <customSheetView guid="{B165479B-DC25-403C-9595-F1A88A4AA9A2}">
      <selection activeCell="M26" sqref="M26"/>
      <pageMargins left="0.25" right="0.25" top="0.5" bottom="0.5" header="0.25" footer="0.25"/>
      <pageSetup paperSize="5" orientation="landscape" r:id="rId2"/>
      <headerFooter alignWithMargins="0"/>
    </customSheetView>
    <customSheetView guid="{A64E4C9E-A3DA-4AAA-8607-F524450B9436}">
      <selection activeCell="M26" sqref="M26"/>
      <pageMargins left="0.25" right="0.25" top="0.5" bottom="0.5" header="0.25" footer="0.25"/>
      <pageSetup paperSize="5" orientation="landscape" r:id="rId3"/>
      <headerFooter alignWithMargins="0"/>
    </customSheetView>
    <customSheetView guid="{AB4FBD91-4533-473A-9702-569FF6402073}">
      <selection activeCell="M26" sqref="M26"/>
      <pageMargins left="0.25" right="0.25" top="0.5" bottom="0.5" header="0.25" footer="0.25"/>
      <pageSetup paperSize="5" orientation="landscape" r:id="rId4"/>
      <headerFooter alignWithMargins="0"/>
    </customSheetView>
  </customSheetViews>
  <mergeCells count="6">
    <mergeCell ref="A15:A17"/>
    <mergeCell ref="I22:M22"/>
    <mergeCell ref="B2:M2"/>
    <mergeCell ref="B3:M3"/>
    <mergeCell ref="J5:K6"/>
    <mergeCell ref="C6:D6"/>
  </mergeCells>
  <pageMargins left="0.25" right="0.25" top="0.5" bottom="0.5" header="0.25" footer="0.25"/>
  <pageSetup paperSize="5" orientation="landscape" r:id="rId5"/>
  <headerFooter alignWithMargins="0"/>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Sheet261">
    <tabColor theme="7" tint="0.39997558519241921"/>
  </sheetPr>
  <dimension ref="A2:T29"/>
  <sheetViews>
    <sheetView zoomScaleNormal="100" zoomScaleSheetLayoutView="80" workbookViewId="0">
      <selection activeCell="G23" sqref="G23"/>
    </sheetView>
  </sheetViews>
  <sheetFormatPr defaultColWidth="9.109375" defaultRowHeight="13.2"/>
  <cols>
    <col min="1" max="1" width="5.6640625" style="331" customWidth="1"/>
    <col min="2" max="3" width="4.88671875" style="331" customWidth="1"/>
    <col min="4" max="4" width="31.5546875" style="331" customWidth="1"/>
    <col min="5" max="12" width="15.6640625" style="331" customWidth="1"/>
    <col min="13" max="16384" width="9.109375" style="331"/>
  </cols>
  <sheetData>
    <row r="2" spans="1:20" ht="20.399999999999999">
      <c r="B2" s="1849" t="str">
        <f>"DEBT  SERVICE  SCHEDULE  FOR  "&amp;UPPER('KEY INPUTS'!D56) &amp;"  UTILITY  ASSESSMENT  NOTES"</f>
        <v>DEBT  SERVICE  SCHEDULE  FOR    UTILITY  ASSESSMENT  NOTES</v>
      </c>
      <c r="C2" s="1849"/>
      <c r="D2" s="1849"/>
      <c r="E2" s="1849"/>
      <c r="F2" s="1849"/>
      <c r="G2" s="1849"/>
      <c r="H2" s="1849"/>
      <c r="I2" s="1849"/>
      <c r="J2" s="1849"/>
      <c r="K2" s="1849"/>
      <c r="L2" s="1849"/>
    </row>
    <row r="3" spans="1:20" ht="21" thickBot="1">
      <c r="B3" s="1816"/>
      <c r="C3" s="1816"/>
      <c r="D3" s="1816"/>
      <c r="E3" s="1816"/>
      <c r="F3" s="1816"/>
      <c r="G3" s="1816"/>
      <c r="H3" s="1816"/>
      <c r="I3" s="1816"/>
      <c r="J3" s="1816"/>
      <c r="K3" s="1816"/>
      <c r="L3" s="1816"/>
    </row>
    <row r="4" spans="1:20" ht="13.5" customHeight="1" thickTop="1">
      <c r="B4" s="1958"/>
      <c r="C4" s="1958"/>
      <c r="D4" s="1959"/>
      <c r="E4" s="1431"/>
      <c r="F4" s="426"/>
      <c r="G4" s="426"/>
      <c r="H4" s="426"/>
      <c r="I4" s="426"/>
      <c r="J4" s="425"/>
      <c r="K4" s="425"/>
      <c r="L4" s="424"/>
    </row>
    <row r="5" spans="1:20" ht="13.5" customHeight="1">
      <c r="E5" s="422" t="s">
        <v>176</v>
      </c>
      <c r="F5" s="421" t="s">
        <v>176</v>
      </c>
      <c r="G5" s="421" t="s">
        <v>533</v>
      </c>
      <c r="H5" s="421" t="s">
        <v>18</v>
      </c>
      <c r="I5" s="421" t="s">
        <v>684</v>
      </c>
      <c r="J5" s="1960">
        <f>'KEY INPUTS'!D33</f>
        <v>2020</v>
      </c>
      <c r="K5" s="1961"/>
      <c r="L5" s="423" t="s">
        <v>685</v>
      </c>
    </row>
    <row r="6" spans="1:20" ht="13.5" customHeight="1">
      <c r="C6" s="1964" t="s">
        <v>175</v>
      </c>
      <c r="D6" s="1965"/>
      <c r="E6" s="422" t="s">
        <v>533</v>
      </c>
      <c r="F6" s="421" t="s">
        <v>177</v>
      </c>
      <c r="G6" s="421" t="s">
        <v>681</v>
      </c>
      <c r="H6" s="421" t="s">
        <v>682</v>
      </c>
      <c r="I6" s="421" t="s">
        <v>682</v>
      </c>
      <c r="J6" s="1962"/>
      <c r="K6" s="1963"/>
      <c r="L6" s="423" t="s">
        <v>688</v>
      </c>
    </row>
    <row r="7" spans="1:20" ht="13.5" customHeight="1">
      <c r="E7" s="422" t="s">
        <v>113</v>
      </c>
      <c r="F7" s="422" t="s">
        <v>178</v>
      </c>
      <c r="G7" s="422" t="s">
        <v>257</v>
      </c>
      <c r="H7" s="422" t="s">
        <v>683</v>
      </c>
      <c r="I7" s="422" t="s">
        <v>685</v>
      </c>
      <c r="J7" s="422" t="s">
        <v>142</v>
      </c>
      <c r="K7" s="422" t="s">
        <v>686</v>
      </c>
      <c r="L7" s="423" t="s">
        <v>689</v>
      </c>
      <c r="N7" s="322"/>
      <c r="O7" s="322"/>
      <c r="P7" s="322"/>
      <c r="Q7" s="322"/>
      <c r="R7" s="322"/>
      <c r="S7" s="322"/>
      <c r="T7" s="322"/>
    </row>
    <row r="8" spans="1:20" ht="13.5" customHeight="1" thickBot="1">
      <c r="B8" s="420"/>
      <c r="C8" s="420"/>
      <c r="D8" s="420"/>
      <c r="E8" s="418"/>
      <c r="F8" s="418"/>
      <c r="G8" s="796" t="str">
        <f>'KEY INPUTS'!D46</f>
        <v>Dec. 31, 2019</v>
      </c>
      <c r="H8" s="418"/>
      <c r="I8" s="418"/>
      <c r="J8" s="419"/>
      <c r="K8" s="546" t="s">
        <v>687</v>
      </c>
      <c r="L8" s="416"/>
      <c r="N8" s="322"/>
      <c r="O8" s="322"/>
      <c r="P8" s="322"/>
      <c r="Q8" s="322"/>
      <c r="R8" s="322"/>
      <c r="S8" s="322"/>
      <c r="T8" s="322"/>
    </row>
    <row r="9" spans="1:20" ht="21" customHeight="1" thickTop="1">
      <c r="B9" s="1874"/>
      <c r="C9" s="1874"/>
      <c r="D9" s="1875"/>
      <c r="E9" s="605"/>
      <c r="F9" s="797"/>
      <c r="G9" s="605"/>
      <c r="H9" s="605"/>
      <c r="I9" s="798"/>
      <c r="J9" s="605"/>
      <c r="K9" s="605"/>
      <c r="L9" s="799"/>
      <c r="N9" s="377"/>
      <c r="O9" s="322"/>
      <c r="P9" s="322"/>
      <c r="Q9" s="322"/>
      <c r="R9" s="322"/>
      <c r="S9" s="322"/>
      <c r="T9" s="322"/>
    </row>
    <row r="10" spans="1:20" ht="21" customHeight="1">
      <c r="B10" s="1876"/>
      <c r="C10" s="1876"/>
      <c r="D10" s="1877"/>
      <c r="E10" s="601"/>
      <c r="F10" s="685"/>
      <c r="G10" s="601"/>
      <c r="H10" s="601"/>
      <c r="I10" s="623"/>
      <c r="J10" s="601"/>
      <c r="K10" s="601"/>
      <c r="L10" s="699"/>
      <c r="N10" s="322"/>
      <c r="O10" s="322"/>
      <c r="P10" s="322"/>
      <c r="Q10" s="322"/>
      <c r="R10" s="322"/>
      <c r="S10" s="322"/>
      <c r="T10" s="322"/>
    </row>
    <row r="11" spans="1:20" ht="21" customHeight="1">
      <c r="B11" s="1876"/>
      <c r="C11" s="1876"/>
      <c r="D11" s="1877"/>
      <c r="E11" s="601"/>
      <c r="F11" s="685"/>
      <c r="G11" s="601"/>
      <c r="H11" s="601"/>
      <c r="I11" s="623"/>
      <c r="J11" s="601"/>
      <c r="K11" s="601"/>
      <c r="L11" s="699"/>
      <c r="N11" s="322"/>
      <c r="O11" s="322"/>
      <c r="P11" s="322"/>
      <c r="Q11" s="322"/>
      <c r="R11" s="322"/>
      <c r="S11" s="322"/>
      <c r="T11" s="322"/>
    </row>
    <row r="12" spans="1:20" ht="21" customHeight="1">
      <c r="B12" s="1876"/>
      <c r="C12" s="1876"/>
      <c r="D12" s="1877"/>
      <c r="E12" s="601"/>
      <c r="F12" s="685"/>
      <c r="G12" s="601"/>
      <c r="H12" s="601"/>
      <c r="I12" s="623"/>
      <c r="J12" s="601"/>
      <c r="K12" s="601"/>
      <c r="L12" s="699"/>
      <c r="N12" s="322"/>
      <c r="O12" s="322"/>
      <c r="P12" s="322"/>
      <c r="Q12" s="322"/>
      <c r="R12" s="322"/>
      <c r="S12" s="322"/>
      <c r="T12" s="322"/>
    </row>
    <row r="13" spans="1:20" ht="21" customHeight="1">
      <c r="B13" s="1876"/>
      <c r="C13" s="1876"/>
      <c r="D13" s="1877"/>
      <c r="E13" s="601"/>
      <c r="F13" s="685"/>
      <c r="G13" s="601"/>
      <c r="H13" s="601"/>
      <c r="I13" s="623"/>
      <c r="J13" s="601"/>
      <c r="K13" s="601"/>
      <c r="L13" s="699"/>
      <c r="N13" s="322"/>
      <c r="O13" s="322"/>
      <c r="P13" s="322"/>
      <c r="Q13" s="322"/>
      <c r="R13" s="322"/>
      <c r="S13" s="322"/>
      <c r="T13" s="322"/>
    </row>
    <row r="14" spans="1:20" ht="21" customHeight="1">
      <c r="B14" s="1876"/>
      <c r="C14" s="1876"/>
      <c r="D14" s="1877"/>
      <c r="E14" s="604"/>
      <c r="F14" s="686"/>
      <c r="G14" s="604"/>
      <c r="H14" s="604"/>
      <c r="I14" s="626"/>
      <c r="J14" s="601"/>
      <c r="K14" s="601"/>
      <c r="L14" s="699"/>
      <c r="N14" s="322"/>
      <c r="O14" s="322"/>
      <c r="P14" s="322"/>
      <c r="Q14" s="322"/>
      <c r="R14" s="322"/>
      <c r="S14" s="322"/>
      <c r="T14" s="322"/>
    </row>
    <row r="15" spans="1:20" ht="21" customHeight="1">
      <c r="A15" s="1792" t="s">
        <v>3447</v>
      </c>
      <c r="B15" s="1876"/>
      <c r="C15" s="1876"/>
      <c r="D15" s="1877"/>
      <c r="E15" s="601"/>
      <c r="F15" s="685"/>
      <c r="G15" s="601"/>
      <c r="H15" s="601"/>
      <c r="I15" s="623"/>
      <c r="J15" s="601"/>
      <c r="K15" s="601"/>
      <c r="L15" s="699"/>
      <c r="N15" s="322"/>
      <c r="O15" s="322"/>
      <c r="P15" s="322"/>
      <c r="Q15" s="322"/>
      <c r="R15" s="322"/>
      <c r="S15" s="322"/>
      <c r="T15" s="322"/>
    </row>
    <row r="16" spans="1:20" ht="21" customHeight="1">
      <c r="A16" s="1792"/>
      <c r="B16" s="1876"/>
      <c r="C16" s="1876"/>
      <c r="D16" s="1877"/>
      <c r="E16" s="601"/>
      <c r="F16" s="685"/>
      <c r="G16" s="601"/>
      <c r="H16" s="601"/>
      <c r="I16" s="623"/>
      <c r="J16" s="601"/>
      <c r="K16" s="601"/>
      <c r="L16" s="699"/>
      <c r="N16" s="322"/>
      <c r="O16" s="322"/>
      <c r="P16" s="322"/>
      <c r="Q16" s="322"/>
      <c r="R16" s="322"/>
      <c r="S16" s="322"/>
      <c r="T16" s="322"/>
    </row>
    <row r="17" spans="1:20" ht="21" customHeight="1">
      <c r="A17" s="1792"/>
      <c r="B17" s="1876"/>
      <c r="C17" s="1876"/>
      <c r="D17" s="1877"/>
      <c r="E17" s="601"/>
      <c r="F17" s="685"/>
      <c r="G17" s="601"/>
      <c r="H17" s="601"/>
      <c r="I17" s="623"/>
      <c r="J17" s="601"/>
      <c r="K17" s="601"/>
      <c r="L17" s="699"/>
      <c r="N17" s="322"/>
      <c r="O17" s="322"/>
      <c r="P17" s="322"/>
      <c r="Q17" s="322"/>
      <c r="R17" s="322"/>
      <c r="S17" s="322"/>
      <c r="T17" s="322"/>
    </row>
    <row r="18" spans="1:20" ht="21" customHeight="1">
      <c r="A18" s="545"/>
      <c r="B18" s="1876"/>
      <c r="C18" s="1876"/>
      <c r="D18" s="1877"/>
      <c r="E18" s="601"/>
      <c r="F18" s="685"/>
      <c r="G18" s="601"/>
      <c r="H18" s="601"/>
      <c r="I18" s="623"/>
      <c r="J18" s="601"/>
      <c r="K18" s="601"/>
      <c r="L18" s="699"/>
      <c r="N18" s="322"/>
      <c r="O18" s="322"/>
      <c r="P18" s="322"/>
      <c r="Q18" s="322"/>
      <c r="R18" s="322"/>
      <c r="S18" s="322"/>
      <c r="T18" s="322"/>
    </row>
    <row r="19" spans="1:20" ht="21" customHeight="1">
      <c r="B19" s="1876"/>
      <c r="C19" s="1876"/>
      <c r="D19" s="1877"/>
      <c r="E19" s="601"/>
      <c r="F19" s="685"/>
      <c r="G19" s="601"/>
      <c r="H19" s="601"/>
      <c r="I19" s="623"/>
      <c r="J19" s="601"/>
      <c r="K19" s="601"/>
      <c r="L19" s="699"/>
      <c r="N19" s="322"/>
      <c r="O19" s="322"/>
      <c r="P19" s="322"/>
      <c r="Q19" s="322"/>
      <c r="R19" s="322"/>
      <c r="S19" s="322"/>
      <c r="T19" s="322"/>
    </row>
    <row r="20" spans="1:20" ht="21" customHeight="1">
      <c r="B20" s="1876"/>
      <c r="C20" s="1876"/>
      <c r="D20" s="1877"/>
      <c r="E20" s="601"/>
      <c r="F20" s="685"/>
      <c r="G20" s="601"/>
      <c r="H20" s="601"/>
      <c r="I20" s="623"/>
      <c r="J20" s="601"/>
      <c r="K20" s="601"/>
      <c r="L20" s="699"/>
      <c r="N20" s="322"/>
      <c r="O20" s="322"/>
      <c r="P20" s="322"/>
      <c r="Q20" s="322"/>
      <c r="R20" s="322"/>
      <c r="S20" s="322"/>
      <c r="T20" s="322"/>
    </row>
    <row r="21" spans="1:20" ht="21" customHeight="1">
      <c r="B21" s="1876"/>
      <c r="C21" s="1876"/>
      <c r="D21" s="1877"/>
      <c r="E21" s="601"/>
      <c r="F21" s="685"/>
      <c r="G21" s="601"/>
      <c r="H21" s="601"/>
      <c r="I21" s="623"/>
      <c r="J21" s="601"/>
      <c r="K21" s="601"/>
      <c r="L21" s="699"/>
      <c r="N21" s="322"/>
      <c r="O21" s="322"/>
      <c r="P21" s="322"/>
      <c r="Q21" s="322"/>
      <c r="R21" s="322"/>
      <c r="S21" s="322"/>
      <c r="T21" s="322"/>
    </row>
    <row r="22" spans="1:20" ht="21" customHeight="1">
      <c r="B22" s="1876"/>
      <c r="C22" s="1876"/>
      <c r="D22" s="1877"/>
      <c r="E22" s="601"/>
      <c r="F22" s="685"/>
      <c r="G22" s="601"/>
      <c r="H22" s="601"/>
      <c r="I22" s="623"/>
      <c r="J22" s="601"/>
      <c r="K22" s="601"/>
      <c r="L22" s="699"/>
      <c r="N22" s="322"/>
      <c r="O22" s="322"/>
      <c r="P22" s="322"/>
      <c r="Q22" s="322"/>
      <c r="R22" s="322"/>
      <c r="S22" s="322"/>
      <c r="T22" s="322"/>
    </row>
    <row r="23" spans="1:20" ht="21" customHeight="1" thickBot="1">
      <c r="B23" s="1256"/>
      <c r="C23" s="1417"/>
      <c r="D23" s="1418"/>
      <c r="E23" s="1365">
        <f>SUM(E9:E22)</f>
        <v>0</v>
      </c>
      <c r="F23" s="1419"/>
      <c r="G23" s="1365">
        <f>SUM(G9:G22)</f>
        <v>0</v>
      </c>
      <c r="H23" s="1365"/>
      <c r="I23" s="1365"/>
      <c r="J23" s="1365">
        <f>SUM(J9:J22)</f>
        <v>0</v>
      </c>
      <c r="K23" s="1365">
        <f>SUM(K9:K22)</f>
        <v>0</v>
      </c>
      <c r="L23" s="1420"/>
      <c r="N23" s="322"/>
      <c r="O23" s="322"/>
      <c r="P23" s="322"/>
      <c r="Q23" s="322"/>
      <c r="R23" s="322"/>
      <c r="S23" s="322"/>
      <c r="T23" s="322"/>
    </row>
    <row r="24" spans="1:20" ht="13.5" customHeight="1" thickTop="1">
      <c r="B24" s="1366" t="s">
        <v>44</v>
      </c>
      <c r="C24" s="1367"/>
      <c r="D24" s="1368"/>
      <c r="E24" s="1146"/>
      <c r="F24" s="1146"/>
      <c r="G24" s="1146"/>
      <c r="H24" s="1146"/>
      <c r="I24" s="1146"/>
      <c r="J24" s="1369"/>
      <c r="K24" s="1369"/>
      <c r="L24" s="1146"/>
    </row>
    <row r="25" spans="1:20" ht="13.5" customHeight="1">
      <c r="B25" s="1366" t="s">
        <v>693</v>
      </c>
      <c r="C25" s="1367"/>
      <c r="D25" s="1368"/>
      <c r="E25" s="1146"/>
      <c r="F25" s="1146"/>
      <c r="G25" s="1146"/>
      <c r="H25" s="1146"/>
      <c r="I25" s="1146"/>
      <c r="J25" s="1146"/>
      <c r="K25" s="1146"/>
      <c r="L25" s="1146"/>
    </row>
    <row r="26" spans="1:20" ht="13.5" customHeight="1">
      <c r="B26" s="1366"/>
      <c r="C26" s="1367" t="str">
        <f>"Utility Assessment Notes with an original date of issue of December 31, 2016 "&amp;" or prior must be appropriated in full in the "&amp;TEXT('KEY INPUTS'!D34+1,"0")&amp;" Dedicated Utility Assessment Budget or written intent of"</f>
        <v>Utility Assessment Notes with an original date of issue of December 31, 2016  or prior must be appropriated in full in the 2020 Dedicated Utility Assessment Budget or written intent of</v>
      </c>
      <c r="D26" s="1368"/>
      <c r="E26" s="1146"/>
      <c r="F26" s="1146"/>
      <c r="G26" s="1146"/>
      <c r="H26" s="1146"/>
      <c r="I26" s="1146"/>
      <c r="J26" s="1146"/>
      <c r="K26" s="1146"/>
      <c r="L26" s="1146"/>
    </row>
    <row r="27" spans="1:20" ht="13.5" customHeight="1">
      <c r="B27" s="1366"/>
      <c r="C27" s="1367"/>
      <c r="D27" s="1370" t="s">
        <v>644</v>
      </c>
      <c r="E27" s="1146"/>
      <c r="F27" s="1146"/>
      <c r="G27" s="1146"/>
      <c r="H27" s="1146"/>
      <c r="I27" s="1146"/>
      <c r="J27" s="1146"/>
      <c r="K27" s="1146"/>
      <c r="L27" s="1146"/>
    </row>
    <row r="28" spans="1:20" ht="13.5" customHeight="1">
      <c r="B28" s="1366"/>
      <c r="C28" s="1367" t="s">
        <v>394</v>
      </c>
      <c r="D28" s="1368"/>
      <c r="E28" s="1146"/>
      <c r="F28" s="1146"/>
      <c r="G28" s="1146"/>
      <c r="H28" s="1146"/>
      <c r="I28" s="1146"/>
      <c r="J28" s="1371"/>
      <c r="K28" s="1146"/>
      <c r="L28" s="1146"/>
    </row>
    <row r="29" spans="1:20">
      <c r="B29" s="541"/>
      <c r="C29" s="411"/>
      <c r="D29" s="411"/>
    </row>
  </sheetData>
  <sheetProtection algorithmName="SHA-512" hashValue="fEVqeI2l1fYzDFPtft/t0Ntj1b5Qyw1qKwUUPAIxcQhyymhuoI5SOflyOIicv8YtkpT+2KGg9Yj1NIE5gGywTQ==" saltValue="C0FpYEdtLX7E7G8lkOYbgw==" spinCount="100000" sheet="1" objects="1" scenarios="1"/>
  <customSheetViews>
    <customSheetView guid="{AC653BD0-46E3-42CB-9C76-32121A57B65A}">
      <selection activeCell="G23" sqref="G23"/>
      <pageMargins left="0.25" right="0.25" top="0.5" bottom="0.5" header="0.25" footer="0.25"/>
      <pageSetup paperSize="5" orientation="landscape" r:id="rId1"/>
      <headerFooter alignWithMargins="0"/>
    </customSheetView>
    <customSheetView guid="{B165479B-DC25-403C-9595-F1A88A4AA9A2}">
      <selection activeCell="G23" sqref="G23"/>
      <pageMargins left="0.25" right="0.25" top="0.5" bottom="0.5" header="0.25" footer="0.25"/>
      <pageSetup paperSize="5" orientation="landscape" r:id="rId2"/>
      <headerFooter alignWithMargins="0"/>
    </customSheetView>
    <customSheetView guid="{A64E4C9E-A3DA-4AAA-8607-F524450B9436}">
      <selection activeCell="G23" sqref="G23"/>
      <pageMargins left="0.25" right="0.25" top="0.5" bottom="0.5" header="0.25" footer="0.25"/>
      <pageSetup paperSize="5" orientation="landscape" r:id="rId3"/>
      <headerFooter alignWithMargins="0"/>
    </customSheetView>
    <customSheetView guid="{AB4FBD91-4533-473A-9702-569FF6402073}">
      <selection activeCell="G23" sqref="G23"/>
      <pageMargins left="0.25" right="0.25" top="0.5" bottom="0.5" header="0.25" footer="0.25"/>
      <pageSetup paperSize="5" orientation="landscape" r:id="rId4"/>
      <headerFooter alignWithMargins="0"/>
    </customSheetView>
  </customSheetViews>
  <mergeCells count="20">
    <mergeCell ref="B18:D18"/>
    <mergeCell ref="B19:D19"/>
    <mergeCell ref="B20:D20"/>
    <mergeCell ref="B21:D21"/>
    <mergeCell ref="B22:D22"/>
    <mergeCell ref="A15:A17"/>
    <mergeCell ref="B2:L2"/>
    <mergeCell ref="B3:L3"/>
    <mergeCell ref="B4:D4"/>
    <mergeCell ref="J5:K6"/>
    <mergeCell ref="C6:D6"/>
    <mergeCell ref="B9:D9"/>
    <mergeCell ref="B10:D10"/>
    <mergeCell ref="B11:D11"/>
    <mergeCell ref="B12:D12"/>
    <mergeCell ref="B13:D13"/>
    <mergeCell ref="B14:D14"/>
    <mergeCell ref="B15:D15"/>
    <mergeCell ref="B16:D16"/>
    <mergeCell ref="B17:D17"/>
  </mergeCells>
  <pageMargins left="0.25" right="0.25" top="0.5" bottom="0.5" header="0.25" footer="0.25"/>
  <pageSetup paperSize="5" orientation="landscape" r:id="rId5"/>
  <headerFooter alignWithMargins="0"/>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Sheet262">
    <tabColor theme="7" tint="0.39997558519241921"/>
  </sheetPr>
  <dimension ref="A2:R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5.88671875" style="331" customWidth="1"/>
    <col min="5" max="6" width="15.6640625" style="331" customWidth="1"/>
    <col min="7" max="9" width="30.6640625" style="331" customWidth="1"/>
    <col min="10" max="16384" width="9.109375" style="331"/>
  </cols>
  <sheetData>
    <row r="2" spans="1:18" ht="20.399999999999999">
      <c r="B2" s="1788" t="str">
        <f>"SCHEDULE  OF  CAPITAL  LEASE  PROGRAM  OBLIGATIONS "&amp;UPPER('KEY INPUTS'!D56)&amp;"  UTILITY"</f>
        <v>SCHEDULE  OF  CAPITAL  LEASE  PROGRAM  OBLIGATIONS   UTILITY</v>
      </c>
      <c r="C2" s="1788"/>
      <c r="D2" s="1788"/>
      <c r="E2" s="1788"/>
      <c r="F2" s="1788"/>
      <c r="G2" s="1788"/>
      <c r="H2" s="1788"/>
      <c r="I2" s="1788"/>
    </row>
    <row r="3" spans="1:18" ht="21" thickBot="1">
      <c r="B3" s="1870"/>
      <c r="C3" s="1870"/>
      <c r="D3" s="1870"/>
      <c r="E3" s="1870"/>
      <c r="F3" s="1870"/>
      <c r="G3" s="1870"/>
      <c r="H3" s="1870"/>
      <c r="I3" s="1870"/>
    </row>
    <row r="4" spans="1:18" ht="13.5" customHeight="1" thickTop="1">
      <c r="B4" s="1943"/>
      <c r="C4" s="1943"/>
      <c r="D4" s="1943"/>
      <c r="E4" s="1943"/>
      <c r="F4" s="1944"/>
      <c r="G4" s="1363"/>
      <c r="H4" s="1142"/>
      <c r="I4" s="1267"/>
    </row>
    <row r="5" spans="1:18" ht="13.5" customHeight="1">
      <c r="B5" s="1146"/>
      <c r="C5" s="1146"/>
      <c r="D5" s="1146"/>
      <c r="E5" s="1141"/>
      <c r="F5" s="1141"/>
      <c r="G5" s="1151" t="s">
        <v>533</v>
      </c>
      <c r="H5" s="1945" t="str">
        <f>'KEY INPUTS'!D34+1&amp;" Budget Requirements"</f>
        <v>2020 Budget Requirements</v>
      </c>
      <c r="I5" s="1946"/>
      <c r="J5" s="774"/>
    </row>
    <row r="6" spans="1:18" ht="13.5" customHeight="1">
      <c r="B6" s="1146"/>
      <c r="C6" s="1787" t="s">
        <v>532</v>
      </c>
      <c r="D6" s="1787"/>
      <c r="E6" s="1141"/>
      <c r="F6" s="1141"/>
      <c r="G6" s="1151" t="s">
        <v>549</v>
      </c>
      <c r="H6" s="1947"/>
      <c r="I6" s="1948"/>
      <c r="J6" s="774"/>
    </row>
    <row r="7" spans="1:18" ht="13.5" customHeight="1">
      <c r="B7" s="1146"/>
      <c r="C7" s="1146"/>
      <c r="D7" s="1146"/>
      <c r="E7" s="1141"/>
      <c r="F7" s="1271"/>
      <c r="G7" s="1272" t="str">
        <f>'KEY INPUTS'!D46</f>
        <v>Dec. 31, 2019</v>
      </c>
      <c r="H7" s="1147" t="s">
        <v>3449</v>
      </c>
      <c r="I7" s="1149" t="s">
        <v>550</v>
      </c>
      <c r="L7" s="322"/>
      <c r="M7" s="322"/>
      <c r="N7" s="322"/>
      <c r="O7" s="322"/>
      <c r="P7" s="322"/>
      <c r="Q7" s="322"/>
      <c r="R7" s="322"/>
    </row>
    <row r="8" spans="1:18" ht="13.5" customHeight="1" thickBot="1">
      <c r="B8" s="1153"/>
      <c r="C8" s="1153"/>
      <c r="D8" s="1153"/>
      <c r="E8" s="1153"/>
      <c r="F8" s="1273"/>
      <c r="G8" s="1274"/>
      <c r="H8" s="1155"/>
      <c r="I8" s="1275"/>
      <c r="L8" s="322"/>
      <c r="M8" s="322"/>
      <c r="N8" s="322"/>
      <c r="O8" s="322"/>
      <c r="P8" s="322"/>
      <c r="Q8" s="322"/>
      <c r="R8" s="322"/>
    </row>
    <row r="9" spans="1:18" ht="21" customHeight="1" thickTop="1">
      <c r="B9" s="1874"/>
      <c r="C9" s="1874"/>
      <c r="D9" s="1874"/>
      <c r="E9" s="1874"/>
      <c r="F9" s="1875"/>
      <c r="G9" s="801"/>
      <c r="H9" s="605"/>
      <c r="I9" s="802"/>
      <c r="L9" s="377"/>
      <c r="M9" s="322"/>
      <c r="N9" s="322"/>
      <c r="O9" s="322"/>
      <c r="P9" s="322"/>
      <c r="Q9" s="322"/>
      <c r="R9" s="322"/>
    </row>
    <row r="10" spans="1:18" ht="21" customHeight="1">
      <c r="B10" s="1876"/>
      <c r="C10" s="1876"/>
      <c r="D10" s="1876"/>
      <c r="E10" s="1876"/>
      <c r="F10" s="1877"/>
      <c r="G10" s="631"/>
      <c r="H10" s="601"/>
      <c r="I10" s="602"/>
      <c r="L10" s="322"/>
      <c r="M10" s="322"/>
      <c r="N10" s="322"/>
      <c r="O10" s="322"/>
      <c r="P10" s="322"/>
      <c r="Q10" s="322"/>
      <c r="R10" s="322"/>
    </row>
    <row r="11" spans="1:18" ht="21" customHeight="1">
      <c r="B11" s="1876"/>
      <c r="C11" s="1876"/>
      <c r="D11" s="1876"/>
      <c r="E11" s="1876"/>
      <c r="F11" s="1877"/>
      <c r="G11" s="631"/>
      <c r="H11" s="601"/>
      <c r="I11" s="602"/>
      <c r="L11" s="322"/>
      <c r="M11" s="322"/>
      <c r="N11" s="322"/>
      <c r="O11" s="322"/>
      <c r="P11" s="322"/>
      <c r="Q11" s="322"/>
      <c r="R11" s="322"/>
    </row>
    <row r="12" spans="1:18" ht="21" customHeight="1">
      <c r="B12" s="1876"/>
      <c r="C12" s="1876"/>
      <c r="D12" s="1876"/>
      <c r="E12" s="1876"/>
      <c r="F12" s="1877"/>
      <c r="G12" s="631"/>
      <c r="H12" s="601"/>
      <c r="I12" s="602"/>
      <c r="L12" s="322"/>
      <c r="M12" s="322"/>
      <c r="N12" s="322"/>
      <c r="O12" s="322"/>
      <c r="P12" s="322"/>
      <c r="Q12" s="322"/>
      <c r="R12" s="322"/>
    </row>
    <row r="13" spans="1:18" ht="21" customHeight="1">
      <c r="B13" s="1876"/>
      <c r="C13" s="1876"/>
      <c r="D13" s="1876"/>
      <c r="E13" s="1876"/>
      <c r="F13" s="1877"/>
      <c r="G13" s="631"/>
      <c r="H13" s="601"/>
      <c r="I13" s="602"/>
      <c r="L13" s="322"/>
      <c r="M13" s="322"/>
      <c r="N13" s="322"/>
      <c r="O13" s="322"/>
      <c r="P13" s="322"/>
      <c r="Q13" s="322"/>
      <c r="R13" s="322"/>
    </row>
    <row r="14" spans="1:18" ht="21" customHeight="1">
      <c r="B14" s="1876"/>
      <c r="C14" s="1876"/>
      <c r="D14" s="1876"/>
      <c r="E14" s="1876"/>
      <c r="F14" s="1877"/>
      <c r="G14" s="632"/>
      <c r="H14" s="601"/>
      <c r="I14" s="602"/>
      <c r="L14" s="322"/>
      <c r="M14" s="322"/>
      <c r="N14" s="322"/>
      <c r="O14" s="322"/>
      <c r="P14" s="322"/>
      <c r="Q14" s="322"/>
      <c r="R14" s="322"/>
    </row>
    <row r="15" spans="1:18" ht="21" customHeight="1">
      <c r="A15" s="1792" t="s">
        <v>3448</v>
      </c>
      <c r="B15" s="1876"/>
      <c r="C15" s="1876"/>
      <c r="D15" s="1876"/>
      <c r="E15" s="1876"/>
      <c r="F15" s="1877"/>
      <c r="G15" s="631"/>
      <c r="H15" s="601"/>
      <c r="I15" s="602"/>
      <c r="L15" s="322"/>
      <c r="M15" s="322"/>
      <c r="N15" s="322"/>
      <c r="O15" s="322"/>
      <c r="P15" s="322"/>
      <c r="Q15" s="322"/>
      <c r="R15" s="322"/>
    </row>
    <row r="16" spans="1:18" ht="21" customHeight="1">
      <c r="A16" s="1792"/>
      <c r="B16" s="1876"/>
      <c r="C16" s="1876"/>
      <c r="D16" s="1876"/>
      <c r="E16" s="1876"/>
      <c r="F16" s="1877"/>
      <c r="G16" s="631"/>
      <c r="H16" s="601"/>
      <c r="I16" s="602"/>
      <c r="L16" s="322"/>
      <c r="M16" s="322"/>
      <c r="N16" s="322"/>
      <c r="O16" s="322"/>
      <c r="P16" s="322"/>
      <c r="Q16" s="322"/>
      <c r="R16" s="322"/>
    </row>
    <row r="17" spans="1:18" ht="21" customHeight="1">
      <c r="A17" s="1792"/>
      <c r="B17" s="1876"/>
      <c r="C17" s="1876"/>
      <c r="D17" s="1876"/>
      <c r="E17" s="1876"/>
      <c r="F17" s="1877"/>
      <c r="G17" s="631"/>
      <c r="H17" s="601"/>
      <c r="I17" s="602"/>
      <c r="L17" s="322"/>
      <c r="M17" s="322"/>
      <c r="N17" s="322"/>
      <c r="O17" s="322"/>
      <c r="P17" s="322"/>
      <c r="Q17" s="322"/>
      <c r="R17" s="322"/>
    </row>
    <row r="18" spans="1:18" ht="21" customHeight="1">
      <c r="A18" s="545"/>
      <c r="B18" s="1876"/>
      <c r="C18" s="1876"/>
      <c r="D18" s="1876"/>
      <c r="E18" s="1876"/>
      <c r="F18" s="1877"/>
      <c r="G18" s="631"/>
      <c r="H18" s="601"/>
      <c r="I18" s="602"/>
      <c r="L18" s="322"/>
      <c r="M18" s="322"/>
      <c r="N18" s="322"/>
      <c r="O18" s="322"/>
      <c r="P18" s="322"/>
      <c r="Q18" s="322"/>
      <c r="R18" s="322"/>
    </row>
    <row r="19" spans="1:18" ht="21" customHeight="1">
      <c r="B19" s="1876"/>
      <c r="C19" s="1876"/>
      <c r="D19" s="1876"/>
      <c r="E19" s="1876"/>
      <c r="F19" s="1877"/>
      <c r="G19" s="631"/>
      <c r="H19" s="601"/>
      <c r="I19" s="602"/>
      <c r="L19" s="322"/>
      <c r="M19" s="322"/>
      <c r="N19" s="322"/>
      <c r="O19" s="322"/>
      <c r="P19" s="322"/>
      <c r="Q19" s="322"/>
      <c r="R19" s="322"/>
    </row>
    <row r="20" spans="1:18" ht="21" customHeight="1">
      <c r="B20" s="1876"/>
      <c r="C20" s="1876"/>
      <c r="D20" s="1876"/>
      <c r="E20" s="1876"/>
      <c r="F20" s="1877"/>
      <c r="G20" s="631"/>
      <c r="H20" s="601"/>
      <c r="I20" s="602"/>
      <c r="L20" s="322"/>
      <c r="M20" s="322"/>
      <c r="N20" s="322"/>
      <c r="O20" s="322"/>
      <c r="P20" s="322"/>
      <c r="Q20" s="322"/>
      <c r="R20" s="322"/>
    </row>
    <row r="21" spans="1:18" ht="21" customHeight="1">
      <c r="B21" s="1876"/>
      <c r="C21" s="1876"/>
      <c r="D21" s="1876"/>
      <c r="E21" s="1876"/>
      <c r="F21" s="1877"/>
      <c r="G21" s="631"/>
      <c r="H21" s="601"/>
      <c r="I21" s="602"/>
      <c r="L21" s="322"/>
      <c r="M21" s="322"/>
      <c r="N21" s="322"/>
      <c r="O21" s="322"/>
      <c r="P21" s="322"/>
      <c r="Q21" s="322"/>
      <c r="R21" s="322"/>
    </row>
    <row r="22" spans="1:18" ht="21" customHeight="1" thickBot="1">
      <c r="B22" s="1876"/>
      <c r="C22" s="1876"/>
      <c r="D22" s="1876"/>
      <c r="E22" s="1876"/>
      <c r="F22" s="1877"/>
      <c r="G22" s="633"/>
      <c r="H22" s="627"/>
      <c r="I22" s="634"/>
      <c r="L22" s="322"/>
      <c r="M22" s="322"/>
      <c r="N22" s="322"/>
      <c r="O22" s="322"/>
      <c r="P22" s="322"/>
      <c r="Q22" s="322"/>
      <c r="R22" s="322"/>
    </row>
    <row r="23" spans="1:18" ht="21" customHeight="1" thickTop="1" thickBot="1">
      <c r="B23" s="1256"/>
      <c r="C23" s="1162"/>
      <c r="D23" s="1373" t="s">
        <v>174</v>
      </c>
      <c r="E23" s="1059"/>
      <c r="F23" s="1273"/>
      <c r="G23" s="1374">
        <f>SUM(G9:G22)</f>
        <v>0</v>
      </c>
      <c r="H23" s="1083">
        <f>SUM(H9:H22)</f>
        <v>0</v>
      </c>
      <c r="I23" s="1161">
        <f>SUM(I9:I22)</f>
        <v>0</v>
      </c>
      <c r="L23" s="322"/>
      <c r="M23" s="322"/>
      <c r="N23" s="322"/>
      <c r="O23" s="322"/>
      <c r="P23" s="322"/>
      <c r="Q23" s="322"/>
      <c r="R23" s="322"/>
    </row>
    <row r="24" spans="1:18" ht="13.5" customHeight="1" thickTop="1">
      <c r="B24" s="803"/>
      <c r="C24" s="411"/>
      <c r="D24" s="804"/>
      <c r="H24" s="504"/>
      <c r="I24" s="504"/>
    </row>
    <row r="25" spans="1:18" ht="13.5" customHeight="1">
      <c r="B25" s="803"/>
      <c r="C25" s="411"/>
      <c r="D25" s="804"/>
    </row>
    <row r="26" spans="1:18" ht="13.5" customHeight="1">
      <c r="B26" s="803"/>
      <c r="C26" s="411"/>
      <c r="D26" s="804"/>
      <c r="H26" s="800"/>
    </row>
    <row r="27" spans="1:18">
      <c r="B27" s="541"/>
      <c r="C27" s="411"/>
      <c r="D27" s="411"/>
    </row>
  </sheetData>
  <sheetProtection algorithmName="SHA-512" hashValue="hjJz/HPTxxm8IowYodmgbeoj6/3vNVo+q6viW0UIxMo38Onhw07J2E86F0wOeqs6wjG/k93EB2zVI7kv5JZgKQ==" saltValue="/39auJkSAY5JBIyLRSb0nQ=="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20">
    <mergeCell ref="B18:F18"/>
    <mergeCell ref="B19:F19"/>
    <mergeCell ref="B20:F20"/>
    <mergeCell ref="B21:F21"/>
    <mergeCell ref="B22:F22"/>
    <mergeCell ref="A15:A17"/>
    <mergeCell ref="B2:I2"/>
    <mergeCell ref="B3:I3"/>
    <mergeCell ref="B4:F4"/>
    <mergeCell ref="H5:I6"/>
    <mergeCell ref="C6:D6"/>
    <mergeCell ref="B9:F9"/>
    <mergeCell ref="B10:F10"/>
    <mergeCell ref="B11:F11"/>
    <mergeCell ref="B12:F12"/>
    <mergeCell ref="B13:F13"/>
    <mergeCell ref="B14:F14"/>
    <mergeCell ref="B15:F15"/>
    <mergeCell ref="B16:F16"/>
    <mergeCell ref="B17:F17"/>
  </mergeCells>
  <pageMargins left="0.25" right="0.25" top="0.5" bottom="0.5" header="0.25" footer="0.25"/>
  <pageSetup paperSize="5" orientation="landscape" r:id="rId5"/>
  <headerFooter alignWithMargins="0"/>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Sheet263">
    <tabColor theme="7"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INPUTS'!D56)&amp;"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701"/>
      <c r="C9" s="673"/>
      <c r="D9" s="676"/>
      <c r="E9" s="618"/>
      <c r="F9" s="618"/>
      <c r="G9" s="618"/>
      <c r="H9" s="618"/>
      <c r="I9" s="618"/>
      <c r="J9" s="618"/>
      <c r="K9" s="618"/>
      <c r="L9" s="630"/>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3450</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algorithmName="SHA-512" hashValue="AuLIV8wdsOCCwg96bh0g47BGCRuD4qwn8bPuJPRCwLxbm/NW/VKhWs2NCAfSBhkg2xnR4tbBY5ro+3M1wRCV2w==" saltValue="fUSMZPOk8CHhOWoLTAOjww=="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Sheet264">
    <tabColor theme="7"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INPUTS'!D56)&amp;"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10" t="s">
        <v>3546</v>
      </c>
      <c r="C9" s="1170"/>
      <c r="D9" s="1432"/>
      <c r="E9" s="1433">
        <f>+'52-Utility5'!E27</f>
        <v>0</v>
      </c>
      <c r="F9" s="1433">
        <f>+'52-Utility5'!F27</f>
        <v>0</v>
      </c>
      <c r="G9" s="1433">
        <f>+'52-Utility5'!G27</f>
        <v>0</v>
      </c>
      <c r="H9" s="1433">
        <f>+'52-Utility5'!H27</f>
        <v>0</v>
      </c>
      <c r="I9" s="1433">
        <f>+'52-Utility5'!I27</f>
        <v>0</v>
      </c>
      <c r="J9" s="1433">
        <f>+'52-Utility5'!J27</f>
        <v>0</v>
      </c>
      <c r="K9" s="1433">
        <f>+'52-Utility5'!K27</f>
        <v>0</v>
      </c>
      <c r="L9" s="1434">
        <f>+'52-Utility5'!L27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3651</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algorithmName="SHA-512" hashValue="Zb2akjOV1gYQo3Dut36gl10eBziljMR65qDe/RWTPGNMRTqPRI/wyQIV4BsD5xgFRlGiPisF4F7Dgi7Qh7wFIQ==" saltValue="Mpd9K99zgoEh0uXkSXx9zA==" spinCount="100000"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Sheet265">
    <tabColor theme="7"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INPUTS'!D56)&amp;"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10" t="s">
        <v>3546</v>
      </c>
      <c r="C9" s="1170"/>
      <c r="D9" s="1432"/>
      <c r="E9" s="1433">
        <f>+'52.1-Utility5'!E27</f>
        <v>0</v>
      </c>
      <c r="F9" s="1433">
        <f>+'52.1-Utility5'!F27</f>
        <v>0</v>
      </c>
      <c r="G9" s="1433">
        <f>+'52.1-Utility5'!G27</f>
        <v>0</v>
      </c>
      <c r="H9" s="1433">
        <f>+'52.1-Utility5'!H27</f>
        <v>0</v>
      </c>
      <c r="I9" s="1433">
        <f>+'52.1-Utility5'!I27</f>
        <v>0</v>
      </c>
      <c r="J9" s="1433">
        <f>+'52.1-Utility5'!J27</f>
        <v>0</v>
      </c>
      <c r="K9" s="1433">
        <f>+'52.1-Utility5'!K27</f>
        <v>0</v>
      </c>
      <c r="L9" s="1434">
        <f>+'52.1-Utility5'!L27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3652</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algorithmName="SHA-512" hashValue="D1VAjPmMiP0ZbsM1quyQYnXBMarH635NKVFy95LAHaGKAqofYZdxYe0HrubZrFOUQI96WIj81EW5QcniRlJ6AA==" saltValue="Wf4rV3N7BSq+N6TZbi6k6Q==" spinCount="100000"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Sheet266">
    <tabColor theme="7"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INPUTS'!D56)&amp;"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10" t="s">
        <v>3546</v>
      </c>
      <c r="C9" s="1170"/>
      <c r="D9" s="1432"/>
      <c r="E9" s="1433">
        <f>+'52.2-Utility5'!E27</f>
        <v>0</v>
      </c>
      <c r="F9" s="1433">
        <f>+'52.2-Utility5'!F27</f>
        <v>0</v>
      </c>
      <c r="G9" s="1433">
        <f>+'52.2-Utility5'!G27</f>
        <v>0</v>
      </c>
      <c r="H9" s="1433">
        <f>+'52.2-Utility5'!H27</f>
        <v>0</v>
      </c>
      <c r="I9" s="1433">
        <f>+'52.2-Utility5'!I27</f>
        <v>0</v>
      </c>
      <c r="J9" s="1433">
        <f>+'52.2-Utility5'!J27</f>
        <v>0</v>
      </c>
      <c r="K9" s="1433">
        <f>+'52.2-Utility5'!K27</f>
        <v>0</v>
      </c>
      <c r="L9" s="1434">
        <f>+'52.2-Utility5'!L27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3653</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3655</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algorithmName="SHA-512" hashValue="uc66j3wH2D+Lv1anxVzNv0QzjJjqtFVTTVR8FygfCr6X8w8VxLPjJ2ag9J2MOyxA5CeOSGgAGpUBx6UjSIllcQ==" saltValue="UV/mmV/paY0BZcjKOUhYdg==" spinCount="100000"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Sheet267">
    <tabColor theme="7" tint="0.39997558519241921"/>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INPUTS'!D56)&amp;"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872"/>
      <c r="C4" s="1872"/>
      <c r="D4" s="1873"/>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276"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10" t="s">
        <v>3546</v>
      </c>
      <c r="C9" s="1170"/>
      <c r="D9" s="1432"/>
      <c r="E9" s="1433">
        <f>+'52.3-Utility5'!E27</f>
        <v>0</v>
      </c>
      <c r="F9" s="1433">
        <f>+'52.3-Utility5'!F27</f>
        <v>0</v>
      </c>
      <c r="G9" s="1433">
        <f>+'52.3-Utility5'!G27</f>
        <v>0</v>
      </c>
      <c r="H9" s="1433">
        <f>+'52.3-Utility5'!H27</f>
        <v>0</v>
      </c>
      <c r="I9" s="1433">
        <f>+'52.3-Utility5'!I27</f>
        <v>0</v>
      </c>
      <c r="J9" s="1433">
        <f>+'52.3-Utility5'!J27</f>
        <v>0</v>
      </c>
      <c r="K9" s="1433">
        <f>+'52.3-Utility5'!K27</f>
        <v>0</v>
      </c>
      <c r="L9" s="1434">
        <f>+'52.3-Utility5'!L27</f>
        <v>0</v>
      </c>
      <c r="O9" s="322"/>
      <c r="P9" s="322"/>
      <c r="Q9" s="322"/>
      <c r="R9" s="322"/>
      <c r="S9" s="322"/>
      <c r="T9" s="322"/>
      <c r="U9" s="322"/>
    </row>
    <row r="10" spans="2:21" ht="21" customHeight="1">
      <c r="B10" s="702"/>
      <c r="C10" s="703"/>
      <c r="D10" s="652"/>
      <c r="E10" s="601"/>
      <c r="F10" s="601"/>
      <c r="G10" s="601"/>
      <c r="H10" s="601"/>
      <c r="I10" s="575"/>
      <c r="J10" s="601"/>
      <c r="K10" s="602"/>
      <c r="L10" s="602"/>
      <c r="O10" s="377"/>
      <c r="P10" s="322"/>
      <c r="Q10" s="322"/>
      <c r="R10" s="322"/>
      <c r="S10" s="322"/>
      <c r="T10" s="322"/>
      <c r="U10" s="322"/>
    </row>
    <row r="11" spans="2:21" ht="21" customHeight="1">
      <c r="B11" s="704"/>
      <c r="C11" s="703"/>
      <c r="D11" s="652"/>
      <c r="E11" s="601"/>
      <c r="F11" s="601"/>
      <c r="G11" s="601"/>
      <c r="H11" s="601"/>
      <c r="I11" s="601"/>
      <c r="J11" s="601"/>
      <c r="K11" s="602"/>
      <c r="L11" s="602"/>
      <c r="O11" s="322"/>
      <c r="P11" s="322"/>
      <c r="Q11" s="322"/>
      <c r="R11" s="322"/>
      <c r="S11" s="322"/>
      <c r="T11" s="322"/>
      <c r="U11" s="322"/>
    </row>
    <row r="12" spans="2:21" ht="21" customHeight="1">
      <c r="B12" s="704"/>
      <c r="C12" s="703"/>
      <c r="D12" s="652"/>
      <c r="E12" s="601"/>
      <c r="F12" s="601"/>
      <c r="G12" s="601"/>
      <c r="H12" s="601"/>
      <c r="I12" s="374"/>
      <c r="J12" s="601"/>
      <c r="K12" s="602"/>
      <c r="L12" s="602"/>
      <c r="O12" s="322"/>
      <c r="P12" s="322"/>
      <c r="Q12" s="322"/>
      <c r="R12" s="322"/>
      <c r="S12" s="322"/>
      <c r="T12" s="322"/>
      <c r="U12" s="322"/>
    </row>
    <row r="13" spans="2:21" ht="21" customHeight="1">
      <c r="B13" s="704"/>
      <c r="C13" s="703"/>
      <c r="D13" s="652"/>
      <c r="E13" s="601"/>
      <c r="F13" s="601"/>
      <c r="G13" s="601"/>
      <c r="H13" s="601"/>
      <c r="I13" s="575"/>
      <c r="J13" s="601"/>
      <c r="K13" s="602"/>
      <c r="L13" s="700"/>
      <c r="O13" s="322"/>
      <c r="P13" s="322"/>
      <c r="Q13" s="322"/>
      <c r="R13" s="322"/>
      <c r="S13" s="322"/>
      <c r="T13" s="322"/>
      <c r="U13" s="322"/>
    </row>
    <row r="14" spans="2:21" ht="21" customHeight="1">
      <c r="B14" s="702"/>
      <c r="C14" s="703"/>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3656</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3657</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376"/>
      <c r="C28" s="1377" t="s">
        <v>663</v>
      </c>
      <c r="D28" s="1378"/>
      <c r="E28" s="1262"/>
      <c r="F28" s="1262"/>
      <c r="G28" s="1262"/>
      <c r="H28" s="1262"/>
      <c r="I28" s="1262"/>
      <c r="J28" s="1262"/>
      <c r="K28" s="1263"/>
      <c r="L28" s="1263"/>
    </row>
    <row r="42" spans="11:12">
      <c r="K42" s="331" t="s">
        <v>3492</v>
      </c>
      <c r="L42" s="553">
        <f>K27+L27</f>
        <v>0</v>
      </c>
    </row>
  </sheetData>
  <sheetProtection algorithmName="SHA-512" hashValue="T3HejEaSDvDuOwywcqoYpafUmSPq7jx12dxtLXa9Yar3f3bnxHV04KDLrdjU3wPB+TNhfZsqTOJygEQlD6WGBg==" saltValue="96boL6V9MUlOQEpRRgn/nw=="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Sheet268">
    <tabColor theme="7" tint="0.39997558519241921"/>
  </sheetPr>
  <dimension ref="B3:S54"/>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6" width="9.109375" style="331"/>
    <col min="7" max="7" width="14.44140625" style="331" customWidth="1"/>
    <col min="8" max="8" width="15" style="331" customWidth="1"/>
    <col min="9" max="10" width="16.6640625" style="331" customWidth="1"/>
    <col min="11" max="16384" width="9.109375" style="331"/>
  </cols>
  <sheetData>
    <row r="3" spans="2:19" ht="22.8">
      <c r="B3" s="1759" t="str">
        <f>UPPER('KEY INPUTS'!D$56)&amp;" UTILITY  CAPITAL  FUND"</f>
        <v xml:space="preserve"> UTILITY  CAPITAL  FUND</v>
      </c>
      <c r="C3" s="1759"/>
      <c r="D3" s="1759"/>
      <c r="E3" s="1759"/>
      <c r="F3" s="1759"/>
      <c r="G3" s="1759"/>
      <c r="H3" s="1759"/>
      <c r="I3" s="1759"/>
      <c r="J3" s="1759"/>
    </row>
    <row r="4" spans="2:19">
      <c r="B4" s="1146"/>
      <c r="C4" s="1146"/>
      <c r="D4" s="1146"/>
      <c r="E4" s="1146"/>
      <c r="F4" s="1146"/>
      <c r="G4" s="1146"/>
      <c r="H4" s="1146"/>
      <c r="I4" s="1146"/>
      <c r="J4" s="1146"/>
    </row>
    <row r="5" spans="2:19" ht="15.6">
      <c r="B5" s="1783" t="s">
        <v>667</v>
      </c>
      <c r="C5" s="1783"/>
      <c r="D5" s="1783"/>
      <c r="E5" s="1783"/>
      <c r="F5" s="1783"/>
      <c r="G5" s="1783"/>
      <c r="H5" s="1783"/>
      <c r="I5" s="1783"/>
      <c r="J5" s="1783"/>
    </row>
    <row r="6" spans="2:19" ht="13.8" thickBot="1">
      <c r="B6" s="1146"/>
      <c r="C6" s="1146"/>
      <c r="D6" s="1146"/>
      <c r="E6" s="1146"/>
      <c r="F6" s="1146"/>
      <c r="G6" s="1146"/>
      <c r="H6" s="1146"/>
      <c r="I6" s="1146"/>
      <c r="J6" s="1146"/>
    </row>
    <row r="7" spans="2:19" ht="28.5" customHeight="1" thickTop="1" thickBot="1">
      <c r="B7" s="1388"/>
      <c r="C7" s="1388"/>
      <c r="D7" s="1388"/>
      <c r="E7" s="1388"/>
      <c r="F7" s="1388"/>
      <c r="G7" s="1388"/>
      <c r="H7" s="1388"/>
      <c r="I7" s="1134" t="s">
        <v>125</v>
      </c>
      <c r="J7" s="1135" t="s">
        <v>126</v>
      </c>
    </row>
    <row r="8" spans="2:19" ht="21" customHeight="1" thickTop="1">
      <c r="B8" s="1158" t="str">
        <f>'KEY INPUTS'!D25</f>
        <v>Balance - January 1, 2019</v>
      </c>
      <c r="C8" s="1158"/>
      <c r="D8" s="1158"/>
      <c r="E8" s="1158"/>
      <c r="F8" s="1158"/>
      <c r="G8" s="1158"/>
      <c r="H8" s="1400"/>
      <c r="I8" s="1088" t="s">
        <v>787</v>
      </c>
      <c r="J8" s="639"/>
    </row>
    <row r="9" spans="2:19" ht="21" customHeight="1">
      <c r="B9" s="1139" t="str">
        <f>"Received from "&amp;'KEY INPUTS'!D34&amp;" Budget Appropriation"</f>
        <v>Received from 2019 Budget Appropriation</v>
      </c>
      <c r="C9" s="1139"/>
      <c r="D9" s="1139"/>
      <c r="E9" s="1139"/>
      <c r="F9" s="1139"/>
      <c r="G9" s="1139"/>
      <c r="H9" s="1401"/>
      <c r="I9" s="973" t="s">
        <v>787</v>
      </c>
      <c r="J9" s="609"/>
      <c r="M9" s="322"/>
      <c r="N9" s="322"/>
      <c r="O9" s="322"/>
      <c r="P9" s="322"/>
      <c r="Q9" s="322"/>
      <c r="R9" s="322"/>
      <c r="S9" s="322"/>
    </row>
    <row r="10" spans="2:19" ht="21" customHeight="1">
      <c r="B10" s="648"/>
      <c r="C10" s="648"/>
      <c r="D10" s="648"/>
      <c r="E10" s="648"/>
      <c r="F10" s="648"/>
      <c r="G10" s="648"/>
      <c r="H10" s="648"/>
      <c r="I10" s="973" t="s">
        <v>787</v>
      </c>
      <c r="J10" s="609"/>
      <c r="M10" s="322"/>
      <c r="N10" s="322"/>
      <c r="O10" s="322"/>
      <c r="P10" s="322"/>
      <c r="Q10" s="322"/>
      <c r="R10" s="322"/>
      <c r="S10" s="322"/>
    </row>
    <row r="11" spans="2:19" ht="11.25" customHeight="1">
      <c r="B11" s="1402" t="s">
        <v>224</v>
      </c>
      <c r="C11" s="1403"/>
      <c r="D11" s="1403"/>
      <c r="E11" s="1403"/>
      <c r="F11" s="1403"/>
      <c r="G11" s="1403"/>
      <c r="H11" s="1404"/>
      <c r="I11" s="1906" t="s">
        <v>787</v>
      </c>
      <c r="J11" s="1904"/>
      <c r="M11" s="377"/>
      <c r="N11" s="322"/>
      <c r="O11" s="322"/>
      <c r="P11" s="322"/>
      <c r="Q11" s="322"/>
      <c r="R11" s="322"/>
      <c r="S11" s="322"/>
    </row>
    <row r="12" spans="2:19" ht="12.75" customHeight="1">
      <c r="B12" s="1391"/>
      <c r="C12" s="1405" t="s">
        <v>225</v>
      </c>
      <c r="D12" s="1391"/>
      <c r="E12" s="1391"/>
      <c r="F12" s="1391"/>
      <c r="G12" s="1391"/>
      <c r="H12" s="1406"/>
      <c r="I12" s="1907"/>
      <c r="J12" s="1905"/>
      <c r="M12" s="322"/>
      <c r="N12" s="322"/>
      <c r="O12" s="322"/>
      <c r="P12" s="322"/>
      <c r="Q12" s="322"/>
      <c r="R12" s="322"/>
      <c r="S12" s="322"/>
    </row>
    <row r="13" spans="2:19" ht="21" customHeight="1">
      <c r="B13" s="668"/>
      <c r="C13" s="1282"/>
      <c r="D13" s="668"/>
      <c r="E13" s="668"/>
      <c r="F13" s="668"/>
      <c r="G13" s="668"/>
      <c r="H13" s="668"/>
      <c r="I13" s="683"/>
      <c r="J13" s="376"/>
      <c r="M13" s="322"/>
      <c r="N13" s="322"/>
      <c r="O13" s="322"/>
      <c r="P13" s="322"/>
      <c r="Q13" s="322"/>
      <c r="R13" s="322"/>
      <c r="S13" s="322"/>
    </row>
    <row r="14" spans="2:19" ht="21" customHeight="1">
      <c r="B14" s="1139" t="s">
        <v>226</v>
      </c>
      <c r="C14" s="1139"/>
      <c r="D14" s="1139"/>
      <c r="E14" s="1139"/>
      <c r="F14" s="1139"/>
      <c r="G14" s="1139"/>
      <c r="H14" s="1139"/>
      <c r="I14" s="973" t="s">
        <v>787</v>
      </c>
      <c r="J14" s="977" t="s">
        <v>787</v>
      </c>
      <c r="M14" s="322"/>
      <c r="N14" s="322"/>
      <c r="O14" s="322"/>
      <c r="P14" s="322"/>
      <c r="Q14" s="322"/>
      <c r="R14" s="322"/>
      <c r="S14" s="322"/>
    </row>
    <row r="15" spans="2:19" ht="21" customHeight="1">
      <c r="B15" s="648"/>
      <c r="C15" s="648"/>
      <c r="D15" s="648"/>
      <c r="E15" s="648"/>
      <c r="F15" s="648"/>
      <c r="G15" s="648"/>
      <c r="H15" s="648"/>
      <c r="I15" s="601"/>
      <c r="J15" s="977" t="s">
        <v>787</v>
      </c>
      <c r="M15" s="322"/>
      <c r="N15" s="322"/>
      <c r="O15" s="322"/>
      <c r="P15" s="322"/>
      <c r="Q15" s="322"/>
      <c r="R15" s="322"/>
      <c r="S15" s="322"/>
    </row>
    <row r="16" spans="2:19" ht="21" customHeight="1">
      <c r="B16" s="648"/>
      <c r="C16" s="648"/>
      <c r="D16" s="648"/>
      <c r="E16" s="648"/>
      <c r="F16" s="648"/>
      <c r="G16" s="648"/>
      <c r="H16" s="648"/>
      <c r="I16" s="601"/>
      <c r="J16" s="977" t="s">
        <v>787</v>
      </c>
      <c r="M16" s="322"/>
      <c r="N16" s="322"/>
      <c r="O16" s="322"/>
      <c r="P16" s="322"/>
      <c r="Q16" s="322"/>
      <c r="R16" s="322"/>
      <c r="S16" s="322"/>
    </row>
    <row r="17" spans="2:19" ht="21" customHeight="1">
      <c r="B17" s="648"/>
      <c r="C17" s="648"/>
      <c r="D17" s="648"/>
      <c r="E17" s="648"/>
      <c r="F17" s="648"/>
      <c r="G17" s="648"/>
      <c r="H17" s="648"/>
      <c r="I17" s="601"/>
      <c r="J17" s="977" t="s">
        <v>787</v>
      </c>
      <c r="M17" s="322"/>
      <c r="N17" s="322"/>
      <c r="O17" s="322"/>
      <c r="P17" s="322"/>
      <c r="Q17" s="322"/>
      <c r="R17" s="322"/>
      <c r="S17" s="322"/>
    </row>
    <row r="18" spans="2:19" ht="21" customHeight="1">
      <c r="B18" s="648"/>
      <c r="C18" s="648"/>
      <c r="D18" s="648"/>
      <c r="E18" s="648"/>
      <c r="F18" s="648"/>
      <c r="G18" s="648"/>
      <c r="H18" s="648"/>
      <c r="I18" s="601"/>
      <c r="J18" s="977" t="s">
        <v>787</v>
      </c>
      <c r="M18" s="322"/>
      <c r="N18" s="322"/>
      <c r="O18" s="322"/>
      <c r="P18" s="322"/>
      <c r="Q18" s="322"/>
      <c r="R18" s="322"/>
      <c r="S18" s="322"/>
    </row>
    <row r="19" spans="2:19" ht="21" customHeight="1">
      <c r="B19" s="648"/>
      <c r="C19" s="648"/>
      <c r="D19" s="648"/>
      <c r="E19" s="648"/>
      <c r="F19" s="648"/>
      <c r="G19" s="648"/>
      <c r="H19" s="648"/>
      <c r="I19" s="601"/>
      <c r="J19" s="977" t="s">
        <v>787</v>
      </c>
      <c r="M19" s="322"/>
      <c r="N19" s="322"/>
      <c r="O19" s="322"/>
      <c r="P19" s="322"/>
      <c r="Q19" s="322"/>
      <c r="R19" s="322"/>
      <c r="S19" s="322"/>
    </row>
    <row r="20" spans="2:19" ht="21" customHeight="1">
      <c r="B20" s="648"/>
      <c r="C20" s="648"/>
      <c r="D20" s="648"/>
      <c r="E20" s="648"/>
      <c r="F20" s="648"/>
      <c r="G20" s="648"/>
      <c r="H20" s="648"/>
      <c r="I20" s="601"/>
      <c r="J20" s="977" t="s">
        <v>787</v>
      </c>
      <c r="M20" s="322"/>
      <c r="N20" s="322"/>
      <c r="O20" s="322"/>
      <c r="P20" s="322"/>
      <c r="Q20" s="322"/>
      <c r="R20" s="322"/>
      <c r="S20" s="322"/>
    </row>
    <row r="21" spans="2:19" ht="21" customHeight="1">
      <c r="B21" s="648"/>
      <c r="C21" s="648"/>
      <c r="D21" s="648"/>
      <c r="E21" s="648"/>
      <c r="F21" s="648"/>
      <c r="G21" s="648"/>
      <c r="H21" s="648"/>
      <c r="I21" s="601"/>
      <c r="J21" s="977" t="s">
        <v>787</v>
      </c>
      <c r="M21" s="322"/>
      <c r="N21" s="322"/>
      <c r="O21" s="322"/>
      <c r="P21" s="322"/>
      <c r="Q21" s="322"/>
      <c r="R21" s="322"/>
      <c r="S21" s="322"/>
    </row>
    <row r="22" spans="2:19" ht="21" customHeight="1">
      <c r="B22" s="1139" t="s">
        <v>229</v>
      </c>
      <c r="C22" s="1139"/>
      <c r="D22" s="1139"/>
      <c r="E22" s="1139"/>
      <c r="F22" s="1139"/>
      <c r="G22" s="1139"/>
      <c r="H22" s="1401"/>
      <c r="I22" s="601"/>
      <c r="J22" s="977" t="s">
        <v>787</v>
      </c>
      <c r="M22" s="322"/>
      <c r="N22" s="322"/>
      <c r="O22" s="322"/>
      <c r="P22" s="322"/>
      <c r="Q22" s="322"/>
      <c r="R22" s="322"/>
      <c r="S22" s="322"/>
    </row>
    <row r="23" spans="2:19" ht="21" customHeight="1">
      <c r="B23" s="648"/>
      <c r="C23" s="648"/>
      <c r="D23" s="648"/>
      <c r="E23" s="648"/>
      <c r="F23" s="648"/>
      <c r="G23" s="648"/>
      <c r="H23" s="648"/>
      <c r="I23" s="601"/>
      <c r="J23" s="977" t="s">
        <v>787</v>
      </c>
      <c r="M23" s="322"/>
      <c r="N23" s="322"/>
      <c r="O23" s="322"/>
      <c r="P23" s="322"/>
      <c r="Q23" s="322"/>
      <c r="R23" s="322"/>
      <c r="S23" s="322"/>
    </row>
    <row r="24" spans="2:19" ht="21" customHeight="1" thickBot="1">
      <c r="B24" s="1139" t="str">
        <f>'KEY INPUTS'!D26</f>
        <v>Balance - December 31, 2019</v>
      </c>
      <c r="C24" s="1139"/>
      <c r="D24" s="1139"/>
      <c r="E24" s="1139"/>
      <c r="F24" s="1139"/>
      <c r="G24" s="1139"/>
      <c r="H24" s="1401"/>
      <c r="I24" s="1106">
        <f>+SUM(J8:J13)-SUM(I13:I23)</f>
        <v>0</v>
      </c>
      <c r="J24" s="1104" t="s">
        <v>787</v>
      </c>
      <c r="M24" s="322"/>
      <c r="N24" s="322"/>
      <c r="O24" s="322"/>
      <c r="P24" s="322"/>
      <c r="Q24" s="322"/>
      <c r="R24" s="322"/>
      <c r="S24" s="322"/>
    </row>
    <row r="25" spans="2:19" ht="21" customHeight="1" thickTop="1" thickBot="1">
      <c r="B25" s="1146"/>
      <c r="C25" s="1146"/>
      <c r="D25" s="1146"/>
      <c r="E25" s="1146"/>
      <c r="F25" s="1146"/>
      <c r="G25" s="1146"/>
      <c r="H25" s="1146"/>
      <c r="I25" s="1061">
        <f>SUM(I8:I24)</f>
        <v>0</v>
      </c>
      <c r="J25" s="1107">
        <f>SUM(J8:J24)</f>
        <v>0</v>
      </c>
      <c r="M25" s="322"/>
      <c r="N25" s="322"/>
      <c r="O25" s="322"/>
      <c r="P25" s="322"/>
      <c r="Q25" s="322"/>
      <c r="R25" s="322"/>
      <c r="S25" s="322"/>
    </row>
    <row r="26" spans="2:19" ht="13.8" thickTop="1">
      <c r="B26" s="1146"/>
      <c r="C26" s="1146"/>
      <c r="D26" s="1146"/>
      <c r="E26" s="1146"/>
      <c r="F26" s="1146"/>
      <c r="G26" s="1146"/>
      <c r="H26" s="1146"/>
      <c r="I26" s="1146"/>
      <c r="J26" s="1146"/>
    </row>
    <row r="27" spans="2:19">
      <c r="B27" s="1146"/>
      <c r="C27" s="1146"/>
      <c r="D27" s="1146"/>
      <c r="E27" s="1146"/>
      <c r="F27" s="1146"/>
      <c r="G27" s="1146"/>
      <c r="H27" s="1146"/>
      <c r="I27" s="1146"/>
      <c r="J27" s="1146"/>
    </row>
    <row r="28" spans="2:19">
      <c r="B28" s="1146"/>
      <c r="C28" s="1146"/>
      <c r="D28" s="1146"/>
      <c r="E28" s="1146"/>
      <c r="F28" s="1146"/>
      <c r="G28" s="1146"/>
      <c r="H28" s="1146"/>
      <c r="I28" s="1146"/>
      <c r="J28" s="1146"/>
    </row>
    <row r="29" spans="2:19">
      <c r="B29" s="1146"/>
      <c r="C29" s="1146"/>
      <c r="D29" s="1146"/>
      <c r="E29" s="1146"/>
      <c r="F29" s="1146"/>
      <c r="G29" s="1146"/>
      <c r="H29" s="1146"/>
      <c r="I29" s="1146"/>
      <c r="J29" s="1146"/>
    </row>
    <row r="30" spans="2:19" ht="22.8">
      <c r="B30" s="1759" t="str">
        <f>UPPER('KEY INPUTS'!D$56)&amp;" UTILITY  CAPITAL  FUND"</f>
        <v xml:space="preserve"> UTILITY  CAPITAL  FUND</v>
      </c>
      <c r="C30" s="1759"/>
      <c r="D30" s="1759"/>
      <c r="E30" s="1759"/>
      <c r="F30" s="1759"/>
      <c r="G30" s="1759"/>
      <c r="H30" s="1759"/>
      <c r="I30" s="1759"/>
      <c r="J30" s="1759"/>
    </row>
    <row r="31" spans="2:19" ht="7.5" customHeight="1">
      <c r="B31" s="1146"/>
      <c r="C31" s="1146"/>
      <c r="D31" s="1146"/>
      <c r="E31" s="1146"/>
      <c r="F31" s="1146"/>
      <c r="G31" s="1146"/>
      <c r="H31" s="1146"/>
      <c r="I31" s="1146"/>
      <c r="J31" s="1146"/>
    </row>
    <row r="32" spans="2:19" ht="15.6">
      <c r="B32" s="1783" t="s">
        <v>234</v>
      </c>
      <c r="C32" s="1783"/>
      <c r="D32" s="1783"/>
      <c r="E32" s="1783"/>
      <c r="F32" s="1783"/>
      <c r="G32" s="1783"/>
      <c r="H32" s="1783"/>
      <c r="I32" s="1783"/>
      <c r="J32" s="1783"/>
    </row>
    <row r="33" spans="2:10" ht="13.8" thickBot="1">
      <c r="B33" s="1146"/>
      <c r="C33" s="1146"/>
      <c r="D33" s="1146"/>
      <c r="E33" s="1146"/>
      <c r="F33" s="1146"/>
      <c r="G33" s="1146"/>
      <c r="H33" s="1146"/>
      <c r="I33" s="1146"/>
      <c r="J33" s="1146"/>
    </row>
    <row r="34" spans="2:10" ht="26.25" customHeight="1" thickTop="1" thickBot="1">
      <c r="B34" s="1388"/>
      <c r="C34" s="1388"/>
      <c r="D34" s="1388"/>
      <c r="E34" s="1388"/>
      <c r="F34" s="1388"/>
      <c r="G34" s="1388"/>
      <c r="H34" s="1388"/>
      <c r="I34" s="1134" t="s">
        <v>125</v>
      </c>
      <c r="J34" s="1135" t="s">
        <v>126</v>
      </c>
    </row>
    <row r="35" spans="2:10" ht="21" customHeight="1" thickTop="1">
      <c r="B35" s="1158" t="str">
        <f>'KEY INPUTS'!D25</f>
        <v>Balance - January 1, 2019</v>
      </c>
      <c r="C35" s="1158"/>
      <c r="D35" s="1158"/>
      <c r="E35" s="1158"/>
      <c r="F35" s="1158"/>
      <c r="G35" s="1158"/>
      <c r="H35" s="1400"/>
      <c r="I35" s="1088" t="s">
        <v>787</v>
      </c>
      <c r="J35" s="639"/>
    </row>
    <row r="36" spans="2:10" ht="21" customHeight="1">
      <c r="B36" s="1139" t="str">
        <f>"Received from "&amp;TEXT('KEY INPUTS'!D34,"0")&amp;" Budget Appropriation *"</f>
        <v>Received from 2019 Budget Appropriation *</v>
      </c>
      <c r="C36" s="1139"/>
      <c r="D36" s="1139"/>
      <c r="E36" s="1139"/>
      <c r="F36" s="1139"/>
      <c r="G36" s="1139"/>
      <c r="H36" s="1401"/>
      <c r="I36" s="973" t="s">
        <v>787</v>
      </c>
      <c r="J36" s="609"/>
    </row>
    <row r="37" spans="2:10" ht="21" customHeight="1">
      <c r="B37" s="1139" t="str">
        <f>"Received from "&amp;TEXT('KEY INPUTS'!D34,"0")&amp;" Emergency Appropriation *"</f>
        <v>Received from 2019 Emergency Appropriation *</v>
      </c>
      <c r="C37" s="1139"/>
      <c r="D37" s="1139"/>
      <c r="E37" s="1139"/>
      <c r="F37" s="1139"/>
      <c r="G37" s="1139"/>
      <c r="H37" s="1401"/>
      <c r="I37" s="973" t="s">
        <v>787</v>
      </c>
      <c r="J37" s="609"/>
    </row>
    <row r="38" spans="2:10" ht="21" customHeight="1">
      <c r="B38" s="668"/>
      <c r="C38" s="1282"/>
      <c r="D38" s="668"/>
      <c r="E38" s="1391"/>
      <c r="F38" s="1391"/>
      <c r="G38" s="1391"/>
      <c r="H38" s="1391"/>
      <c r="I38" s="683"/>
      <c r="J38" s="376"/>
    </row>
    <row r="39" spans="2:10" ht="21" customHeight="1">
      <c r="B39" s="1139" t="s">
        <v>229</v>
      </c>
      <c r="C39" s="1139"/>
      <c r="D39" s="1139"/>
      <c r="E39" s="1139"/>
      <c r="F39" s="1139"/>
      <c r="G39" s="1139"/>
      <c r="H39" s="1401"/>
      <c r="I39" s="601"/>
      <c r="J39" s="977" t="s">
        <v>787</v>
      </c>
    </row>
    <row r="40" spans="2:10" ht="21" customHeight="1">
      <c r="B40" s="648"/>
      <c r="C40" s="648"/>
      <c r="D40" s="648"/>
      <c r="E40" s="1139"/>
      <c r="F40" s="1139"/>
      <c r="G40" s="1139"/>
      <c r="H40" s="1139"/>
      <c r="I40" s="601"/>
      <c r="J40" s="977" t="s">
        <v>787</v>
      </c>
    </row>
    <row r="41" spans="2:10" ht="21" customHeight="1" thickBot="1">
      <c r="B41" s="1139" t="str">
        <f>'KEY INPUTS'!D26</f>
        <v>Balance - December 31, 2019</v>
      </c>
      <c r="C41" s="1139"/>
      <c r="D41" s="1139"/>
      <c r="E41" s="1139"/>
      <c r="F41" s="1139"/>
      <c r="G41" s="1139"/>
      <c r="H41" s="1401"/>
      <c r="I41" s="1283">
        <f>SUM(J35:J38)-SUM(I38:I40)</f>
        <v>0</v>
      </c>
      <c r="J41" s="1104" t="s">
        <v>787</v>
      </c>
    </row>
    <row r="42" spans="2:10" ht="21" customHeight="1" thickTop="1" thickBot="1">
      <c r="B42" s="1146"/>
      <c r="C42" s="1146"/>
      <c r="D42" s="1146"/>
      <c r="E42" s="1146"/>
      <c r="F42" s="1146"/>
      <c r="G42" s="1146"/>
      <c r="H42" s="1146"/>
      <c r="I42" s="1061">
        <f>SUM(I35:I41)</f>
        <v>0</v>
      </c>
      <c r="J42" s="1107">
        <f>SUM(J35:J41)</f>
        <v>0</v>
      </c>
    </row>
    <row r="43" spans="2:10" ht="21" customHeight="1" thickTop="1">
      <c r="I43" s="191"/>
      <c r="J43" s="191"/>
    </row>
    <row r="44" spans="2:10" ht="21" customHeight="1"/>
    <row r="45" spans="2:10" ht="13.5" customHeight="1">
      <c r="B45" s="554" t="str">
        <f>"*The full amount of the "&amp;TEXT('KEY INPUTS'!D34,"0")&amp;"  budget appropriation should be transferred to this account unless the balance of the"</f>
        <v>*The full amount of the 2019  budget appropriation should be transferred to this account unless the balance of the</v>
      </c>
      <c r="C45" s="554"/>
    </row>
    <row r="46" spans="2:10" ht="13.5" customHeight="1">
      <c r="B46" s="554"/>
      <c r="C46" s="554" t="s">
        <v>233</v>
      </c>
    </row>
    <row r="47" spans="2:10" ht="13.5" customHeight="1">
      <c r="B47" s="554"/>
      <c r="C47" s="554"/>
    </row>
    <row r="48" spans="2:10" ht="13.5" customHeight="1">
      <c r="B48" s="554"/>
      <c r="C48" s="554"/>
    </row>
    <row r="49" spans="2:10" ht="13.5" customHeight="1">
      <c r="B49" s="554"/>
      <c r="C49" s="554"/>
    </row>
    <row r="50" spans="2:10" ht="13.5" customHeight="1">
      <c r="B50" s="554"/>
      <c r="C50" s="554"/>
    </row>
    <row r="51" spans="2:10" ht="13.5" customHeight="1">
      <c r="B51" s="554"/>
      <c r="C51" s="554"/>
    </row>
    <row r="52" spans="2:10" ht="13.5" customHeight="1">
      <c r="B52" s="554"/>
      <c r="C52" s="554"/>
    </row>
    <row r="53" spans="2:10" ht="13.5" customHeight="1">
      <c r="B53" s="554"/>
      <c r="C53" s="554"/>
    </row>
    <row r="54" spans="2:10" ht="13.8">
      <c r="B54" s="1812" t="s">
        <v>3451</v>
      </c>
      <c r="C54" s="1812"/>
      <c r="D54" s="1812"/>
      <c r="E54" s="1812"/>
      <c r="F54" s="1812"/>
      <c r="G54" s="1812"/>
      <c r="H54" s="1812"/>
      <c r="I54" s="1812"/>
      <c r="J54" s="1812"/>
    </row>
  </sheetData>
  <sheetProtection algorithmName="SHA-512" hashValue="7wA1/aF7ElC6AMh8yIBaVUlheTCPwTo5DsVZkhfHzXJvTqE/+l3Wwhajc3zG6j2PFY35gOZa6aOxkOJGecdsjg==" saltValue="gJdTg21J1V7kV0xi/A3XE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7">
    <mergeCell ref="B3:J3"/>
    <mergeCell ref="B5:J5"/>
    <mergeCell ref="B30:J30"/>
    <mergeCell ref="B32:J32"/>
    <mergeCell ref="B54:J54"/>
    <mergeCell ref="I11:I12"/>
    <mergeCell ref="J11:J12"/>
  </mergeCells>
  <pageMargins left="0.25" right="0.25" top="0.5" bottom="0.5" header="0.25" footer="0.25"/>
  <pageSetup paperSize="5" orientation="portrait"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B3:K51"/>
  <sheetViews>
    <sheetView topLeftCell="A39" zoomScaleNormal="100" workbookViewId="0">
      <selection activeCell="B3" sqref="B3:O3"/>
    </sheetView>
  </sheetViews>
  <sheetFormatPr defaultRowHeight="13.2"/>
  <cols>
    <col min="1" max="1" width="4.6640625" customWidth="1"/>
    <col min="2" max="2" width="4.88671875" customWidth="1"/>
    <col min="3" max="4" width="4.6640625" customWidth="1"/>
    <col min="5" max="5" width="30.6640625" customWidth="1"/>
    <col min="6" max="6" width="15.6640625" customWidth="1"/>
    <col min="7" max="8" width="16.6640625" customWidth="1"/>
    <col min="9" max="9" width="13.5546875" bestFit="1" customWidth="1"/>
    <col min="10" max="10" width="11.88671875" bestFit="1" customWidth="1"/>
    <col min="11" max="11" width="10.33203125" bestFit="1" customWidth="1"/>
  </cols>
  <sheetData>
    <row r="3" spans="2:9" ht="22.8">
      <c r="B3" s="1549" t="s">
        <v>543</v>
      </c>
      <c r="C3" s="1549"/>
      <c r="D3" s="1549"/>
      <c r="E3" s="1549"/>
      <c r="F3" s="1549"/>
      <c r="G3" s="1549"/>
      <c r="H3" s="1549"/>
    </row>
    <row r="4" spans="2:9" ht="22.8">
      <c r="B4" s="1549" t="s">
        <v>249</v>
      </c>
      <c r="C4" s="1549"/>
      <c r="D4" s="1549"/>
      <c r="E4" s="1549"/>
      <c r="F4" s="1549"/>
      <c r="G4" s="1549"/>
      <c r="H4" s="1549"/>
    </row>
    <row r="5" spans="2:9" ht="13.8">
      <c r="B5" s="1578"/>
      <c r="C5" s="1578"/>
      <c r="D5" s="1578"/>
      <c r="E5" s="1578"/>
      <c r="F5" s="1578"/>
      <c r="G5" s="1578"/>
      <c r="H5" s="1578"/>
    </row>
    <row r="6" spans="2:9" ht="15.6">
      <c r="B6" s="1556" t="str">
        <f>'KEY INPUTS'!D44</f>
        <v>AS  AT  DECEMBER  31, 2019</v>
      </c>
      <c r="C6" s="1509"/>
      <c r="D6" s="1509"/>
      <c r="E6" s="1509"/>
      <c r="F6" s="1509"/>
      <c r="G6" s="1509"/>
      <c r="H6" s="1509"/>
    </row>
    <row r="7" spans="2:9" ht="13.8" thickBot="1"/>
    <row r="8" spans="2:9" ht="36" customHeight="1" thickTop="1" thickBot="1">
      <c r="B8" s="1553" t="s">
        <v>124</v>
      </c>
      <c r="C8" s="1553"/>
      <c r="D8" s="1553"/>
      <c r="E8" s="1553"/>
      <c r="F8" s="1554"/>
      <c r="G8" s="725" t="s">
        <v>125</v>
      </c>
      <c r="H8" s="3" t="s">
        <v>126</v>
      </c>
    </row>
    <row r="9" spans="2:9" ht="21" customHeight="1" thickTop="1">
      <c r="B9" s="322" t="s">
        <v>251</v>
      </c>
      <c r="C9" s="322"/>
      <c r="D9" s="322"/>
      <c r="E9" s="322"/>
      <c r="F9" s="322"/>
      <c r="G9" s="870">
        <f>+H10</f>
        <v>0</v>
      </c>
      <c r="H9" s="728" t="s">
        <v>787</v>
      </c>
      <c r="I9" s="228"/>
    </row>
    <row r="10" spans="2:9" ht="21" customHeight="1">
      <c r="B10" s="323" t="s">
        <v>252</v>
      </c>
      <c r="C10" s="323"/>
      <c r="D10" s="323"/>
      <c r="E10" s="323"/>
      <c r="F10" s="323"/>
      <c r="G10" s="871" t="s">
        <v>787</v>
      </c>
      <c r="H10" s="727"/>
      <c r="I10" s="228"/>
    </row>
    <row r="11" spans="2:9" ht="21" customHeight="1">
      <c r="B11" s="323"/>
      <c r="C11" s="323"/>
      <c r="D11" s="323"/>
      <c r="E11" s="323"/>
      <c r="F11" s="323"/>
      <c r="G11" s="872"/>
      <c r="H11" s="336"/>
    </row>
    <row r="12" spans="2:9" ht="21" customHeight="1">
      <c r="B12" s="323"/>
      <c r="C12" s="323" t="s">
        <v>459</v>
      </c>
      <c r="D12" s="323"/>
      <c r="E12" s="323"/>
      <c r="F12" s="323"/>
      <c r="G12" s="872">
        <f>+'9-Cash Reconciliation'!I15</f>
        <v>2091041.79</v>
      </c>
      <c r="H12" s="727"/>
      <c r="I12" s="742"/>
    </row>
    <row r="13" spans="2:9" ht="21" customHeight="1">
      <c r="B13" s="5"/>
      <c r="C13" s="566"/>
      <c r="D13" s="566"/>
      <c r="E13" s="566"/>
      <c r="F13" s="566"/>
      <c r="G13" s="372"/>
      <c r="H13" s="568"/>
    </row>
    <row r="14" spans="2:9" ht="21" customHeight="1">
      <c r="B14" s="5"/>
      <c r="C14" s="567" t="s">
        <v>3825</v>
      </c>
      <c r="D14" s="566"/>
      <c r="E14" s="566"/>
      <c r="F14" s="566"/>
      <c r="G14" s="591">
        <v>1184478.7</v>
      </c>
      <c r="H14" s="568"/>
      <c r="I14" s="228"/>
    </row>
    <row r="15" spans="2:9" ht="21" customHeight="1">
      <c r="B15" s="5"/>
      <c r="C15" s="567" t="s">
        <v>1153</v>
      </c>
      <c r="D15" s="566"/>
      <c r="E15" s="566"/>
      <c r="F15" s="566"/>
      <c r="G15" s="372">
        <v>2541.66</v>
      </c>
      <c r="H15" s="568"/>
      <c r="I15" s="228"/>
    </row>
    <row r="16" spans="2:9" ht="21" customHeight="1">
      <c r="B16" s="5"/>
      <c r="C16" s="648" t="s">
        <v>3826</v>
      </c>
      <c r="D16" s="566"/>
      <c r="E16" s="566"/>
      <c r="F16" s="566"/>
      <c r="G16" s="372">
        <v>1020855.22</v>
      </c>
      <c r="H16" s="568"/>
      <c r="I16" s="325"/>
    </row>
    <row r="17" spans="2:11" ht="21" customHeight="1">
      <c r="B17" s="5"/>
      <c r="C17" s="5" t="s">
        <v>1003</v>
      </c>
      <c r="D17" s="5"/>
      <c r="E17" s="5"/>
      <c r="F17" s="5"/>
      <c r="G17" s="372"/>
      <c r="H17" s="568"/>
    </row>
    <row r="18" spans="2:11" ht="21" customHeight="1">
      <c r="B18" s="5"/>
      <c r="C18" s="5"/>
      <c r="D18" s="5" t="s">
        <v>1001</v>
      </c>
      <c r="E18" s="5"/>
      <c r="F18" s="5"/>
      <c r="G18" s="591">
        <v>15241615.119999999</v>
      </c>
      <c r="H18" s="568"/>
      <c r="I18" s="741"/>
    </row>
    <row r="19" spans="2:11" ht="21" customHeight="1">
      <c r="B19" s="5"/>
      <c r="C19" s="5"/>
      <c r="D19" s="5" t="s">
        <v>1002</v>
      </c>
      <c r="E19" s="5"/>
      <c r="F19" s="5"/>
      <c r="G19" s="726">
        <v>4655950</v>
      </c>
      <c r="H19" s="727"/>
      <c r="I19" s="228"/>
      <c r="J19" s="228"/>
      <c r="K19" s="312"/>
    </row>
    <row r="20" spans="2:11" ht="21" customHeight="1">
      <c r="B20" s="5"/>
      <c r="C20" s="566"/>
      <c r="D20" s="566"/>
      <c r="E20" s="566"/>
      <c r="F20" s="566"/>
      <c r="G20" s="372"/>
      <c r="H20" s="568"/>
    </row>
    <row r="21" spans="2:11" ht="21" customHeight="1">
      <c r="B21" s="5"/>
      <c r="C21" s="567" t="s">
        <v>3477</v>
      </c>
      <c r="D21" s="566"/>
      <c r="E21" s="566"/>
      <c r="F21" s="566"/>
      <c r="G21" s="372"/>
      <c r="H21" s="568"/>
    </row>
    <row r="22" spans="2:11" s="322" customFormat="1" ht="21" customHeight="1">
      <c r="B22" s="323"/>
      <c r="C22" s="567"/>
      <c r="D22" s="566"/>
      <c r="E22" s="566"/>
      <c r="F22" s="566"/>
      <c r="G22" s="726"/>
      <c r="H22" s="727"/>
    </row>
    <row r="23" spans="2:11" ht="21" customHeight="1">
      <c r="B23" s="5"/>
      <c r="C23" s="566"/>
      <c r="D23" s="566"/>
      <c r="E23" s="566"/>
      <c r="F23" s="566"/>
      <c r="G23" s="372"/>
      <c r="H23" s="568"/>
    </row>
    <row r="24" spans="2:11" ht="21" customHeight="1">
      <c r="B24" s="5"/>
      <c r="C24" s="566"/>
      <c r="D24" s="566"/>
      <c r="E24" s="566"/>
      <c r="F24" s="566"/>
      <c r="G24" s="372"/>
      <c r="H24" s="568"/>
    </row>
    <row r="25" spans="2:11" ht="21" customHeight="1">
      <c r="B25" s="5"/>
      <c r="C25" s="566"/>
      <c r="D25" s="566"/>
      <c r="E25" s="566"/>
      <c r="F25" s="566"/>
      <c r="G25" s="372"/>
      <c r="H25" s="568"/>
      <c r="I25" s="712"/>
    </row>
    <row r="26" spans="2:11" ht="21" customHeight="1">
      <c r="B26" s="5"/>
      <c r="C26" s="567"/>
      <c r="D26" s="566"/>
      <c r="E26" s="566"/>
      <c r="F26" s="566"/>
      <c r="G26" s="726"/>
      <c r="H26" s="727"/>
      <c r="I26" s="712"/>
    </row>
    <row r="27" spans="2:11" ht="21" customHeight="1">
      <c r="B27" s="5"/>
      <c r="C27" s="832"/>
      <c r="D27" s="566"/>
      <c r="E27" s="566"/>
      <c r="F27" s="566"/>
      <c r="G27" s="372"/>
      <c r="H27" s="568"/>
      <c r="I27" s="710"/>
    </row>
    <row r="28" spans="2:11" ht="21" customHeight="1">
      <c r="B28" s="5"/>
      <c r="C28" s="566"/>
      <c r="D28" s="566"/>
      <c r="E28" s="566"/>
      <c r="F28" s="566"/>
      <c r="G28" s="372"/>
      <c r="H28" s="568"/>
      <c r="I28" s="228"/>
    </row>
    <row r="29" spans="2:11" s="322" customFormat="1" ht="21" customHeight="1">
      <c r="B29" s="323"/>
      <c r="C29" s="566"/>
      <c r="D29" s="566"/>
      <c r="E29" s="566"/>
      <c r="F29" s="566"/>
      <c r="G29" s="591"/>
      <c r="H29" s="729"/>
      <c r="I29" s="325"/>
    </row>
    <row r="30" spans="2:11" s="322" customFormat="1" ht="21" customHeight="1">
      <c r="B30" s="323"/>
      <c r="C30" s="566"/>
      <c r="D30" s="566"/>
      <c r="E30" s="566"/>
      <c r="F30" s="566"/>
      <c r="G30" s="726"/>
      <c r="H30" s="727"/>
      <c r="I30" s="325"/>
    </row>
    <row r="31" spans="2:11" ht="21" customHeight="1">
      <c r="B31" s="5"/>
      <c r="C31" s="566"/>
      <c r="D31" s="566"/>
      <c r="E31" s="566"/>
      <c r="F31" s="566"/>
      <c r="G31" s="372"/>
      <c r="H31" s="568"/>
    </row>
    <row r="32" spans="2:11" ht="21" customHeight="1">
      <c r="B32" s="5"/>
      <c r="C32" s="566"/>
      <c r="D32" s="566"/>
      <c r="E32" s="566"/>
      <c r="F32" s="566"/>
      <c r="G32" s="372"/>
      <c r="H32" s="568"/>
    </row>
    <row r="33" spans="2:9" ht="21" customHeight="1">
      <c r="B33" s="5"/>
      <c r="C33" s="566"/>
      <c r="D33" s="566"/>
      <c r="E33" s="566"/>
      <c r="F33" s="566"/>
      <c r="G33" s="372"/>
      <c r="H33" s="568"/>
      <c r="I33" s="712"/>
    </row>
    <row r="34" spans="2:9" ht="21" customHeight="1">
      <c r="B34" s="5"/>
      <c r="C34" s="566"/>
      <c r="D34" s="566"/>
      <c r="E34" s="566"/>
      <c r="F34" s="566"/>
      <c r="G34" s="726"/>
      <c r="H34" s="568"/>
      <c r="I34" s="712"/>
    </row>
    <row r="35" spans="2:9" ht="21" customHeight="1">
      <c r="B35" s="5"/>
      <c r="C35" s="566"/>
      <c r="D35" s="566"/>
      <c r="E35" s="566"/>
      <c r="F35" s="566"/>
      <c r="G35" s="372"/>
      <c r="H35" s="568"/>
    </row>
    <row r="36" spans="2:9" ht="21" customHeight="1">
      <c r="B36" s="5"/>
      <c r="C36" s="567"/>
      <c r="D36" s="566"/>
      <c r="E36" s="566"/>
      <c r="F36" s="566"/>
      <c r="G36" s="726"/>
      <c r="H36" s="727"/>
      <c r="I36" s="228"/>
    </row>
    <row r="37" spans="2:9" ht="21" customHeight="1">
      <c r="B37" s="5"/>
      <c r="C37" s="566"/>
      <c r="D37" s="566"/>
      <c r="E37" s="566"/>
      <c r="F37" s="566"/>
      <c r="G37" s="372"/>
      <c r="H37" s="568"/>
    </row>
    <row r="38" spans="2:9" ht="21" customHeight="1">
      <c r="B38" s="5"/>
      <c r="C38" s="567"/>
      <c r="D38" s="566"/>
      <c r="E38" s="566"/>
      <c r="F38" s="566"/>
      <c r="G38" s="372"/>
      <c r="H38" s="729"/>
      <c r="I38" s="228"/>
    </row>
    <row r="39" spans="2:9" ht="21" customHeight="1">
      <c r="B39" s="5"/>
      <c r="C39" s="566"/>
      <c r="D39" s="566"/>
      <c r="E39" s="566"/>
      <c r="F39" s="566"/>
      <c r="G39" s="372"/>
      <c r="H39" s="568"/>
      <c r="I39" s="712"/>
    </row>
    <row r="40" spans="2:9" ht="21" customHeight="1">
      <c r="B40" s="5"/>
      <c r="C40" s="567"/>
      <c r="D40" s="566"/>
      <c r="E40" s="566"/>
      <c r="F40" s="566"/>
      <c r="G40" s="372"/>
      <c r="H40" s="568"/>
      <c r="I40" s="710"/>
    </row>
    <row r="41" spans="2:9" ht="21" customHeight="1">
      <c r="B41" s="5"/>
      <c r="C41" s="397"/>
      <c r="D41" s="397"/>
      <c r="E41" s="397"/>
      <c r="F41" s="397"/>
      <c r="G41" s="622"/>
      <c r="H41" s="397"/>
      <c r="I41" s="228"/>
    </row>
    <row r="42" spans="2:9" ht="21" customHeight="1">
      <c r="B42" s="5"/>
      <c r="C42" s="566"/>
      <c r="D42" s="566"/>
      <c r="E42" s="566"/>
      <c r="F42" s="566"/>
      <c r="G42" s="372"/>
      <c r="H42" s="568"/>
    </row>
    <row r="43" spans="2:9" ht="21" customHeight="1" thickBot="1">
      <c r="B43" s="5"/>
      <c r="C43" s="566"/>
      <c r="D43" s="566"/>
      <c r="E43" s="566"/>
      <c r="F43" s="566"/>
      <c r="G43" s="586"/>
      <c r="H43" s="585"/>
      <c r="I43" s="710"/>
    </row>
    <row r="44" spans="2:9" ht="21" customHeight="1" thickBot="1">
      <c r="B44" s="323"/>
      <c r="C44" s="326" t="s">
        <v>3545</v>
      </c>
      <c r="D44" s="323"/>
      <c r="E44" s="323"/>
      <c r="F44" s="323"/>
      <c r="G44" s="219">
        <f>SUM(G9:G43)</f>
        <v>24196482.489999998</v>
      </c>
      <c r="H44" s="220">
        <f>SUM(H9:H43)</f>
        <v>0</v>
      </c>
      <c r="I44" s="228"/>
    </row>
    <row r="45" spans="2:9" ht="13.8" thickTop="1">
      <c r="B45" s="1511" t="s">
        <v>127</v>
      </c>
      <c r="C45" s="1511"/>
      <c r="D45" s="1511"/>
      <c r="E45" s="1511"/>
      <c r="F45" s="1511"/>
      <c r="G45" s="1511"/>
      <c r="H45" s="1511"/>
    </row>
    <row r="46" spans="2:9">
      <c r="B46" s="814"/>
      <c r="C46" s="814"/>
      <c r="D46" s="814"/>
      <c r="E46" s="814"/>
      <c r="F46" s="814"/>
      <c r="G46" s="814"/>
      <c r="H46" s="814"/>
    </row>
    <row r="47" spans="2:9">
      <c r="B47" s="322"/>
      <c r="C47" s="322"/>
      <c r="D47" s="322"/>
      <c r="E47" s="322"/>
      <c r="F47" s="322"/>
      <c r="G47" s="322"/>
      <c r="H47" s="322"/>
    </row>
    <row r="48" spans="2:9" ht="13.8">
      <c r="B48" s="1507" t="s">
        <v>250</v>
      </c>
      <c r="C48" s="1507"/>
      <c r="D48" s="1507"/>
      <c r="E48" s="1507"/>
      <c r="F48" s="1507"/>
      <c r="G48" s="1507"/>
      <c r="H48" s="1507"/>
    </row>
    <row r="50" spans="8:8">
      <c r="H50" s="228"/>
    </row>
    <row r="51" spans="8:8">
      <c r="H51" s="228"/>
    </row>
  </sheetData>
  <sheetProtection algorithmName="SHA-512" hashValue="0P9xI5mDPc17zroGV6xeUMNqXrlFuQ3YvYYCAG/RDMDbh+XK6MoIcRgpx6xLGOcDj3MXGUm4ocQKhGVg4khNfQ==" saltValue="WywS8QxRnkbm6KOLDuuRJ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topLeftCell="A28">
      <selection activeCell="G18" sqref="G18"/>
      <pageMargins left="0.25" right="0.25" top="0.5" bottom="0.5" header="0.25" footer="0.25"/>
      <pageSetup paperSize="5" orientation="portrait" r:id="rId2"/>
      <headerFooter alignWithMargins="0"/>
    </customSheetView>
    <customSheetView guid="{A64E4C9E-A3DA-4AAA-8607-F524450B9436}" topLeftCell="A16">
      <selection activeCell="G18" sqref="G18"/>
      <pageMargins left="0.25" right="0.25" top="0.5" bottom="0.5" header="0.25" footer="0.25"/>
      <pageSetup paperSize="5" orientation="portrait" r:id="rId3"/>
      <headerFooter alignWithMargins="0"/>
    </customSheetView>
    <customSheetView guid="{AB4FBD91-4533-473A-9702-569FF6402073}">
      <selection activeCell="G18" sqref="G18"/>
      <pageMargins left="0.25" right="0.25" top="0.5" bottom="0.5" header="0.25" footer="0.25"/>
      <pageSetup paperSize="5" orientation="portrait" r:id="rId4"/>
      <headerFooter alignWithMargins="0"/>
    </customSheetView>
  </customSheetViews>
  <mergeCells count="7">
    <mergeCell ref="B8:F8"/>
    <mergeCell ref="B45:H45"/>
    <mergeCell ref="B48:H48"/>
    <mergeCell ref="B3:H3"/>
    <mergeCell ref="B4:H4"/>
    <mergeCell ref="B6:H6"/>
    <mergeCell ref="B5:H5"/>
  </mergeCells>
  <phoneticPr fontId="0" type="noConversion"/>
  <pageMargins left="0.25" right="0.25" top="0.5" bottom="0.5" header="0.25" footer="0.25"/>
  <pageSetup paperSize="5" scale="77" orientation="portrait" r:id="rId5"/>
  <headerFooter alignWithMargins="0"/>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Sheet269">
    <tabColor theme="7" tint="0.39997558519241921"/>
  </sheetPr>
  <dimension ref="B1:AC52"/>
  <sheetViews>
    <sheetView zoomScaleNormal="100" zoomScaleSheetLayoutView="80" workbookViewId="0">
      <selection activeCell="B1" sqref="B1"/>
    </sheetView>
  </sheetViews>
  <sheetFormatPr defaultColWidth="8.88671875" defaultRowHeight="13.2"/>
  <cols>
    <col min="1" max="3" width="4.6640625" style="398" customWidth="1"/>
    <col min="4" max="4" width="4.5546875" style="398" customWidth="1"/>
    <col min="5" max="5" width="8.88671875" style="398"/>
    <col min="6" max="6" width="6.6640625" style="398" customWidth="1"/>
    <col min="7" max="10" width="16.6640625" style="398" customWidth="1"/>
    <col min="11" max="20" width="8.88671875" style="398"/>
    <col min="21" max="23" width="4.6640625" style="322" customWidth="1"/>
    <col min="24" max="24" width="8.88671875" style="322"/>
    <col min="25" max="25" width="6.6640625" style="322" customWidth="1"/>
    <col min="26" max="29" width="16.6640625" style="322" customWidth="1"/>
    <col min="30" max="16384" width="8.88671875" style="398"/>
  </cols>
  <sheetData>
    <row r="1" spans="2:19">
      <c r="B1" s="1114"/>
      <c r="C1" s="1114"/>
      <c r="D1" s="1222"/>
      <c r="E1" s="1222"/>
      <c r="F1" s="1114"/>
      <c r="G1" s="1114"/>
      <c r="H1" s="1114"/>
      <c r="I1" s="1114"/>
      <c r="J1" s="1114"/>
    </row>
    <row r="2" spans="2:19">
      <c r="B2" s="1114"/>
      <c r="C2" s="1114"/>
      <c r="D2" s="1222"/>
      <c r="E2" s="1222"/>
      <c r="F2" s="1114"/>
      <c r="G2" s="1114"/>
      <c r="H2" s="1114"/>
      <c r="I2" s="1114"/>
      <c r="J2" s="1114"/>
    </row>
    <row r="3" spans="2:19" ht="24.6">
      <c r="B3" s="1949" t="str">
        <f>UPPER('KEY INPUTS'!D$56)&amp;" UTILITY FUND"</f>
        <v xml:space="preserve"> UTILITY FUND</v>
      </c>
      <c r="C3" s="1949"/>
      <c r="D3" s="1949"/>
      <c r="E3" s="1949"/>
      <c r="F3" s="1949"/>
      <c r="G3" s="1949"/>
      <c r="H3" s="1949"/>
      <c r="I3" s="1949"/>
      <c r="J3" s="1949"/>
    </row>
    <row r="4" spans="2:19">
      <c r="B4" s="1114"/>
      <c r="C4" s="1114"/>
      <c r="D4" s="1114"/>
      <c r="E4" s="1114"/>
      <c r="F4" s="1114"/>
      <c r="G4" s="1114"/>
      <c r="H4" s="1114"/>
      <c r="I4" s="1114"/>
      <c r="J4" s="1114"/>
    </row>
    <row r="5" spans="2:19" ht="17.399999999999999">
      <c r="B5" s="1805" t="str">
        <f>"CAPITAL  IMPROVEMENTS  AUTHORIZED  IN "&amp;TEXT('KEY INPUTS'!D34,"0")&amp;""</f>
        <v>CAPITAL  IMPROVEMENTS  AUTHORIZED  IN 2019</v>
      </c>
      <c r="C5" s="1805"/>
      <c r="D5" s="1805"/>
      <c r="E5" s="1805"/>
      <c r="F5" s="1805"/>
      <c r="G5" s="1805"/>
      <c r="H5" s="1805"/>
      <c r="I5" s="1805"/>
      <c r="J5" s="1805"/>
    </row>
    <row r="6" spans="2:19" ht="17.399999999999999">
      <c r="B6" s="1805" t="s">
        <v>261</v>
      </c>
      <c r="C6" s="1805"/>
      <c r="D6" s="1805"/>
      <c r="E6" s="1805"/>
      <c r="F6" s="1805"/>
      <c r="G6" s="1805"/>
      <c r="H6" s="1805"/>
      <c r="I6" s="1805"/>
      <c r="J6" s="1805"/>
    </row>
    <row r="7" spans="2:19" ht="13.8" thickBot="1">
      <c r="B7" s="1114"/>
      <c r="C7" s="1114"/>
      <c r="D7" s="1114"/>
      <c r="E7" s="1114"/>
      <c r="F7" s="1114"/>
      <c r="G7" s="1114"/>
      <c r="H7" s="1114"/>
      <c r="I7" s="1114"/>
      <c r="J7" s="1114"/>
    </row>
    <row r="8" spans="2:19" ht="13.8" thickTop="1">
      <c r="B8" s="1237"/>
      <c r="C8" s="1237"/>
      <c r="D8" s="1237"/>
      <c r="E8" s="1237"/>
      <c r="F8" s="1237"/>
      <c r="G8" s="1238"/>
      <c r="H8" s="1238"/>
      <c r="I8" s="1238"/>
      <c r="J8" s="1302" t="s">
        <v>307</v>
      </c>
    </row>
    <row r="9" spans="2:19">
      <c r="B9" s="1114"/>
      <c r="C9" s="1864" t="s">
        <v>532</v>
      </c>
      <c r="D9" s="1864"/>
      <c r="E9" s="1864"/>
      <c r="F9" s="1114"/>
      <c r="G9" s="1241" t="s">
        <v>533</v>
      </c>
      <c r="H9" s="1241" t="s">
        <v>260</v>
      </c>
      <c r="I9" s="1241" t="s">
        <v>265</v>
      </c>
      <c r="J9" s="1299" t="s">
        <v>308</v>
      </c>
    </row>
    <row r="10" spans="2:19">
      <c r="B10" s="1114"/>
      <c r="C10" s="1114"/>
      <c r="D10" s="1114"/>
      <c r="E10" s="1114"/>
      <c r="F10" s="1114"/>
      <c r="G10" s="1241" t="s">
        <v>263</v>
      </c>
      <c r="H10" s="1241" t="s">
        <v>264</v>
      </c>
      <c r="I10" s="1241" t="s">
        <v>266</v>
      </c>
      <c r="J10" s="1407" t="str">
        <f>"of " &amp;TEXT('KEY INPUTS'!D34,"0")&amp;" or Prior"</f>
        <v>of 2019 or Prior</v>
      </c>
    </row>
    <row r="11" spans="2:19" ht="13.8" thickBot="1">
      <c r="B11" s="1169"/>
      <c r="C11" s="1169"/>
      <c r="D11" s="1169"/>
      <c r="E11" s="1169"/>
      <c r="F11" s="1169"/>
      <c r="G11" s="1248"/>
      <c r="H11" s="1248" t="s">
        <v>560</v>
      </c>
      <c r="I11" s="1248" t="s">
        <v>306</v>
      </c>
      <c r="J11" s="1408" t="s">
        <v>309</v>
      </c>
      <c r="M11" s="322"/>
      <c r="N11" s="322"/>
      <c r="O11" s="322"/>
      <c r="P11" s="322"/>
      <c r="Q11" s="322"/>
      <c r="R11" s="322"/>
      <c r="S11" s="322"/>
    </row>
    <row r="12" spans="2:19" ht="21" customHeight="1" thickTop="1">
      <c r="B12" s="673"/>
      <c r="C12" s="673"/>
      <c r="D12" s="673"/>
      <c r="E12" s="673"/>
      <c r="F12" s="673"/>
      <c r="G12" s="605"/>
      <c r="H12" s="605"/>
      <c r="I12" s="605"/>
      <c r="J12" s="639"/>
      <c r="M12" s="322"/>
      <c r="N12" s="322"/>
      <c r="O12" s="322"/>
      <c r="P12" s="322"/>
      <c r="Q12" s="322"/>
      <c r="R12" s="322"/>
      <c r="S12" s="322"/>
    </row>
    <row r="13" spans="2:19" ht="21" customHeight="1">
      <c r="B13" s="648"/>
      <c r="C13" s="648"/>
      <c r="D13" s="648"/>
      <c r="E13" s="648"/>
      <c r="F13" s="648"/>
      <c r="G13" s="601"/>
      <c r="H13" s="601"/>
      <c r="I13" s="601"/>
      <c r="J13" s="609"/>
      <c r="M13" s="377"/>
      <c r="N13" s="322"/>
      <c r="O13" s="322"/>
      <c r="P13" s="322"/>
      <c r="Q13" s="322"/>
      <c r="R13" s="322"/>
      <c r="S13" s="322"/>
    </row>
    <row r="14" spans="2:19" ht="21" customHeight="1">
      <c r="B14" s="648"/>
      <c r="C14" s="648"/>
      <c r="D14" s="648"/>
      <c r="E14" s="648"/>
      <c r="F14" s="648"/>
      <c r="G14" s="601"/>
      <c r="H14" s="601"/>
      <c r="I14" s="601"/>
      <c r="J14" s="609"/>
      <c r="M14" s="322"/>
      <c r="N14" s="322"/>
      <c r="O14" s="322"/>
      <c r="P14" s="322"/>
      <c r="Q14" s="322"/>
      <c r="R14" s="322"/>
      <c r="S14" s="322"/>
    </row>
    <row r="15" spans="2:19" ht="21" customHeight="1">
      <c r="B15" s="648"/>
      <c r="C15" s="648"/>
      <c r="D15" s="648"/>
      <c r="E15" s="648"/>
      <c r="F15" s="648"/>
      <c r="G15" s="601"/>
      <c r="H15" s="601"/>
      <c r="I15" s="601"/>
      <c r="J15" s="609"/>
      <c r="M15" s="322"/>
      <c r="N15" s="322"/>
      <c r="O15" s="322"/>
      <c r="P15" s="322"/>
      <c r="Q15" s="322"/>
      <c r="R15" s="322"/>
      <c r="S15" s="322"/>
    </row>
    <row r="16" spans="2:19" ht="21" customHeight="1">
      <c r="B16" s="648"/>
      <c r="C16" s="648"/>
      <c r="D16" s="648"/>
      <c r="E16" s="648"/>
      <c r="F16" s="648"/>
      <c r="G16" s="601"/>
      <c r="H16" s="601"/>
      <c r="I16" s="601"/>
      <c r="J16" s="609"/>
      <c r="M16" s="322"/>
      <c r="N16" s="322"/>
      <c r="O16" s="322"/>
      <c r="P16" s="322"/>
      <c r="Q16" s="322"/>
      <c r="R16" s="322"/>
      <c r="S16" s="322"/>
    </row>
    <row r="17" spans="2:19" ht="21" customHeight="1">
      <c r="B17" s="648"/>
      <c r="C17" s="648"/>
      <c r="D17" s="648"/>
      <c r="E17" s="648"/>
      <c r="F17" s="648"/>
      <c r="G17" s="601"/>
      <c r="H17" s="601"/>
      <c r="I17" s="601"/>
      <c r="J17" s="609"/>
      <c r="M17" s="322"/>
      <c r="N17" s="322"/>
      <c r="O17" s="322"/>
      <c r="P17" s="322"/>
      <c r="Q17" s="322"/>
      <c r="R17" s="322"/>
      <c r="S17" s="322"/>
    </row>
    <row r="18" spans="2:19" ht="21" customHeight="1">
      <c r="B18" s="648"/>
      <c r="C18" s="648"/>
      <c r="D18" s="648"/>
      <c r="E18" s="648"/>
      <c r="F18" s="648"/>
      <c r="G18" s="601"/>
      <c r="H18" s="601"/>
      <c r="I18" s="601"/>
      <c r="J18" s="609"/>
      <c r="M18" s="322"/>
      <c r="N18" s="322"/>
      <c r="O18" s="322"/>
      <c r="P18" s="322"/>
      <c r="Q18" s="322"/>
      <c r="R18" s="322"/>
      <c r="S18" s="322"/>
    </row>
    <row r="19" spans="2:19" ht="21" customHeight="1">
      <c r="B19" s="648"/>
      <c r="C19" s="648"/>
      <c r="D19" s="648"/>
      <c r="E19" s="648"/>
      <c r="F19" s="648"/>
      <c r="G19" s="601"/>
      <c r="H19" s="601"/>
      <c r="I19" s="601"/>
      <c r="J19" s="609"/>
      <c r="M19" s="322"/>
      <c r="N19" s="322"/>
      <c r="O19" s="322"/>
      <c r="P19" s="322"/>
      <c r="Q19" s="322"/>
      <c r="R19" s="322"/>
      <c r="S19" s="322"/>
    </row>
    <row r="20" spans="2:19" ht="21" customHeight="1">
      <c r="B20" s="648"/>
      <c r="C20" s="648"/>
      <c r="D20" s="648"/>
      <c r="E20" s="648"/>
      <c r="F20" s="648"/>
      <c r="G20" s="601"/>
      <c r="H20" s="601"/>
      <c r="I20" s="601"/>
      <c r="J20" s="609"/>
      <c r="M20" s="322"/>
      <c r="N20" s="322"/>
      <c r="O20" s="322"/>
      <c r="P20" s="322"/>
      <c r="Q20" s="322"/>
      <c r="R20" s="322"/>
      <c r="S20" s="322"/>
    </row>
    <row r="21" spans="2:19" ht="21" customHeight="1" thickBot="1">
      <c r="B21" s="648"/>
      <c r="C21" s="648"/>
      <c r="D21" s="648"/>
      <c r="E21" s="648"/>
      <c r="F21" s="648"/>
      <c r="G21" s="627"/>
      <c r="H21" s="627"/>
      <c r="I21" s="627"/>
      <c r="J21" s="671"/>
      <c r="M21" s="322"/>
      <c r="N21" s="322"/>
      <c r="O21" s="322"/>
      <c r="P21" s="322"/>
      <c r="Q21" s="322"/>
      <c r="R21" s="322"/>
      <c r="S21" s="322"/>
    </row>
    <row r="22" spans="2:19" ht="21" customHeight="1" thickTop="1" thickBot="1">
      <c r="B22" s="1169"/>
      <c r="C22" s="1169"/>
      <c r="D22" s="1169"/>
      <c r="E22" s="1169"/>
      <c r="F22" s="1169"/>
      <c r="G22" s="1131">
        <f>SUM(G12:G21)</f>
        <v>0</v>
      </c>
      <c r="H22" s="1131">
        <f>SUM(H12:H21)</f>
        <v>0</v>
      </c>
      <c r="I22" s="1131">
        <f>SUM(I12:I21)</f>
        <v>0</v>
      </c>
      <c r="J22" s="1409">
        <f>SUM(J12:J21)</f>
        <v>0</v>
      </c>
      <c r="M22" s="322"/>
      <c r="N22" s="322"/>
      <c r="O22" s="322"/>
      <c r="P22" s="322"/>
      <c r="Q22" s="322"/>
      <c r="R22" s="322"/>
      <c r="S22" s="322"/>
    </row>
    <row r="23" spans="2:19" ht="13.8" thickTop="1">
      <c r="B23" s="1114"/>
      <c r="C23" s="1114"/>
      <c r="D23" s="1114"/>
      <c r="E23" s="1114"/>
      <c r="F23" s="1114"/>
      <c r="G23" s="1114"/>
      <c r="H23" s="1114"/>
      <c r="I23" s="1114"/>
      <c r="J23" s="1114"/>
      <c r="M23" s="322"/>
      <c r="N23" s="322"/>
      <c r="O23" s="322"/>
      <c r="P23" s="322"/>
      <c r="Q23" s="322"/>
      <c r="R23" s="322"/>
      <c r="S23" s="322"/>
    </row>
    <row r="24" spans="2:19">
      <c r="B24" s="1114"/>
      <c r="C24" s="1114"/>
      <c r="D24" s="1114"/>
      <c r="E24" s="1114"/>
      <c r="F24" s="1114"/>
      <c r="G24" s="1114"/>
      <c r="H24" s="1114"/>
      <c r="I24" s="1114"/>
      <c r="J24" s="1114"/>
      <c r="M24" s="322"/>
      <c r="N24" s="322"/>
      <c r="O24" s="322"/>
      <c r="P24" s="322"/>
      <c r="Q24" s="322"/>
      <c r="R24" s="322"/>
      <c r="S24" s="322"/>
    </row>
    <row r="25" spans="2:19">
      <c r="B25" s="1114"/>
      <c r="C25" s="1114"/>
      <c r="D25" s="1114"/>
      <c r="E25" s="1114"/>
      <c r="F25" s="1114"/>
      <c r="G25" s="1114"/>
      <c r="H25" s="1114"/>
      <c r="I25" s="1114"/>
      <c r="J25" s="1114"/>
      <c r="M25" s="322"/>
      <c r="N25" s="322"/>
      <c r="O25" s="322"/>
      <c r="P25" s="322"/>
      <c r="Q25" s="322"/>
      <c r="R25" s="322"/>
      <c r="S25" s="322"/>
    </row>
    <row r="26" spans="2:19">
      <c r="B26" s="1114"/>
      <c r="C26" s="1114"/>
      <c r="D26" s="1114"/>
      <c r="E26" s="1114"/>
      <c r="F26" s="1114"/>
      <c r="G26" s="1114"/>
      <c r="H26" s="1114"/>
      <c r="I26" s="1114"/>
      <c r="J26" s="1114"/>
      <c r="M26" s="322"/>
      <c r="N26" s="322"/>
      <c r="O26" s="322"/>
      <c r="P26" s="322"/>
      <c r="Q26" s="322"/>
      <c r="R26" s="322"/>
      <c r="S26" s="322"/>
    </row>
    <row r="27" spans="2:19">
      <c r="B27" s="1114"/>
      <c r="C27" s="1114"/>
      <c r="D27" s="1114"/>
      <c r="E27" s="1114"/>
      <c r="F27" s="1114"/>
      <c r="G27" s="1114"/>
      <c r="H27" s="1114"/>
      <c r="I27" s="1114"/>
      <c r="J27" s="1114"/>
      <c r="M27" s="322"/>
      <c r="N27" s="322"/>
      <c r="O27" s="322"/>
      <c r="P27" s="322"/>
      <c r="Q27" s="322"/>
      <c r="R27" s="322"/>
      <c r="S27" s="322"/>
    </row>
    <row r="28" spans="2:19" ht="22.8">
      <c r="B28" s="1759" t="str">
        <f>UPPER('KEY INPUTS'!D$56)&amp;" UTILITY  CAPITAL  FUND"</f>
        <v xml:space="preserve"> UTILITY  CAPITAL  FUND</v>
      </c>
      <c r="C28" s="1759"/>
      <c r="D28" s="1759"/>
      <c r="E28" s="1759"/>
      <c r="F28" s="1759"/>
      <c r="G28" s="1759"/>
      <c r="H28" s="1759"/>
      <c r="I28" s="1759"/>
      <c r="J28" s="1759"/>
    </row>
    <row r="29" spans="2:19" ht="22.8">
      <c r="B29" s="1759" t="s">
        <v>193</v>
      </c>
      <c r="C29" s="1759"/>
      <c r="D29" s="1759"/>
      <c r="E29" s="1759"/>
      <c r="F29" s="1759"/>
      <c r="G29" s="1759"/>
      <c r="H29" s="1759"/>
      <c r="I29" s="1759"/>
      <c r="J29" s="1759"/>
    </row>
    <row r="30" spans="2:19">
      <c r="B30" s="1114"/>
      <c r="C30" s="1114"/>
      <c r="D30" s="1114"/>
      <c r="E30" s="1114"/>
      <c r="F30" s="1114"/>
      <c r="G30" s="1114"/>
      <c r="H30" s="1114"/>
      <c r="I30" s="1114"/>
      <c r="J30" s="1114"/>
    </row>
    <row r="31" spans="2:19" ht="15.6">
      <c r="B31" s="1766" t="str">
        <f>"YEAR  "&amp;TEXT('KEY INPUTS'!D34,"0")&amp;""</f>
        <v>YEAR  2019</v>
      </c>
      <c r="C31" s="1766"/>
      <c r="D31" s="1766"/>
      <c r="E31" s="1766"/>
      <c r="F31" s="1766"/>
      <c r="G31" s="1766"/>
      <c r="H31" s="1766"/>
      <c r="I31" s="1766"/>
      <c r="J31" s="1766"/>
    </row>
    <row r="32" spans="2:19" ht="13.8" thickBot="1">
      <c r="B32" s="1114"/>
      <c r="C32" s="1114"/>
      <c r="D32" s="1114"/>
      <c r="E32" s="1114"/>
      <c r="F32" s="1114"/>
      <c r="G32" s="1114"/>
      <c r="H32" s="1114"/>
      <c r="I32" s="1114"/>
      <c r="J32" s="1114"/>
    </row>
    <row r="33" spans="2:10" ht="28.5" customHeight="1" thickTop="1" thickBot="1">
      <c r="B33" s="1333"/>
      <c r="C33" s="1333"/>
      <c r="D33" s="1333"/>
      <c r="E33" s="1333"/>
      <c r="F33" s="1333"/>
      <c r="G33" s="1333"/>
      <c r="H33" s="1333"/>
      <c r="I33" s="1115" t="s">
        <v>125</v>
      </c>
      <c r="J33" s="1116" t="s">
        <v>126</v>
      </c>
    </row>
    <row r="34" spans="2:10" ht="21" customHeight="1" thickTop="1">
      <c r="B34" s="1410" t="str">
        <f>'KEY INPUTS'!D25</f>
        <v>Balance - January 1, 2019</v>
      </c>
      <c r="C34" s="1170"/>
      <c r="D34" s="1170"/>
      <c r="E34" s="1170"/>
      <c r="F34" s="1170"/>
      <c r="G34" s="1170"/>
      <c r="H34" s="1170"/>
      <c r="I34" s="1171" t="s">
        <v>787</v>
      </c>
      <c r="J34" s="638"/>
    </row>
    <row r="35" spans="2:10" ht="21" customHeight="1">
      <c r="B35" s="690" t="s">
        <v>195</v>
      </c>
      <c r="C35" s="690"/>
      <c r="D35" s="690"/>
      <c r="E35" s="690"/>
      <c r="F35" s="690"/>
      <c r="G35" s="690"/>
      <c r="H35" s="690"/>
      <c r="I35" s="1174" t="s">
        <v>787</v>
      </c>
      <c r="J35" s="578"/>
    </row>
    <row r="36" spans="2:10" ht="21" customHeight="1">
      <c r="B36" s="690" t="s">
        <v>196</v>
      </c>
      <c r="C36" s="690"/>
      <c r="D36" s="690"/>
      <c r="E36" s="690"/>
      <c r="F36" s="690"/>
      <c r="G36" s="690"/>
      <c r="H36" s="690"/>
      <c r="I36" s="1174" t="s">
        <v>787</v>
      </c>
      <c r="J36" s="578"/>
    </row>
    <row r="37" spans="2:10" ht="21" customHeight="1">
      <c r="B37" s="648" t="s">
        <v>3493</v>
      </c>
      <c r="C37" s="648"/>
      <c r="D37" s="648"/>
      <c r="E37" s="648"/>
      <c r="F37" s="648"/>
      <c r="G37" s="648"/>
      <c r="H37" s="690"/>
      <c r="I37" s="842"/>
      <c r="J37" s="578"/>
    </row>
    <row r="38" spans="2:10" ht="21" customHeight="1">
      <c r="B38" s="648"/>
      <c r="C38" s="648"/>
      <c r="D38" s="648"/>
      <c r="E38" s="648"/>
      <c r="F38" s="648"/>
      <c r="G38" s="648"/>
      <c r="H38" s="690"/>
      <c r="I38" s="374"/>
      <c r="J38" s="578"/>
    </row>
    <row r="39" spans="2:10" ht="21" customHeight="1">
      <c r="B39" s="648"/>
      <c r="C39" s="648"/>
      <c r="D39" s="648"/>
      <c r="E39" s="648"/>
      <c r="F39" s="648"/>
      <c r="G39" s="648"/>
      <c r="H39" s="690"/>
      <c r="I39" s="374"/>
      <c r="J39" s="578"/>
    </row>
    <row r="40" spans="2:10" ht="21" customHeight="1">
      <c r="B40" s="690" t="s">
        <v>3453</v>
      </c>
      <c r="C40" s="690"/>
      <c r="D40" s="690"/>
      <c r="E40" s="690"/>
      <c r="F40" s="690"/>
      <c r="G40" s="690"/>
      <c r="H40" s="690"/>
      <c r="I40" s="374"/>
      <c r="J40" s="1300" t="s">
        <v>787</v>
      </c>
    </row>
    <row r="41" spans="2:10" ht="21" customHeight="1">
      <c r="B41" s="914" t="str">
        <f>"Appropriation to "&amp;'KEY INPUTS'!D34&amp;" Budget Reserve"</f>
        <v>Appropriation to 2019 Budget Reserve</v>
      </c>
      <c r="C41" s="690"/>
      <c r="D41" s="690"/>
      <c r="E41" s="690"/>
      <c r="F41" s="690"/>
      <c r="G41" s="1411"/>
      <c r="H41" s="690"/>
      <c r="I41" s="575"/>
      <c r="J41" s="1300" t="s">
        <v>787</v>
      </c>
    </row>
    <row r="42" spans="2:10" ht="21" customHeight="1">
      <c r="B42" s="690" t="str">
        <f>'KEY INPUTS'!D26</f>
        <v>Balance - December 31, 2019</v>
      </c>
      <c r="C42" s="690"/>
      <c r="D42" s="690"/>
      <c r="E42" s="690"/>
      <c r="F42" s="690"/>
      <c r="G42" s="690"/>
      <c r="H42" s="690"/>
      <c r="I42" s="842">
        <f>SUM(J34:J39)-SUM(I37:I41)</f>
        <v>0</v>
      </c>
      <c r="J42" s="1300" t="s">
        <v>787</v>
      </c>
    </row>
    <row r="43" spans="2:10" ht="21" customHeight="1" thickBot="1">
      <c r="B43" s="1114"/>
      <c r="C43" s="1114"/>
      <c r="D43" s="1114"/>
      <c r="E43" s="1114"/>
      <c r="F43" s="1114"/>
      <c r="G43" s="1114"/>
      <c r="H43" s="1114"/>
      <c r="I43" s="1109">
        <f>SUM(I34:I42)</f>
        <v>0</v>
      </c>
      <c r="J43" s="1412">
        <f>SUM(J34:J42)</f>
        <v>0</v>
      </c>
    </row>
    <row r="44" spans="2:10" ht="21" customHeight="1" thickTop="1"/>
    <row r="45" spans="2:10" ht="21" customHeight="1"/>
    <row r="46" spans="2:10" ht="21" customHeight="1"/>
    <row r="47" spans="2:10" ht="21" customHeight="1"/>
    <row r="48" spans="2:10" ht="21" customHeight="1"/>
    <row r="49" spans="2:10" ht="21" customHeight="1"/>
    <row r="52" spans="2:10" ht="13.8">
      <c r="B52" s="1765" t="s">
        <v>3452</v>
      </c>
      <c r="C52" s="1765"/>
      <c r="D52" s="1765"/>
      <c r="E52" s="1765"/>
      <c r="F52" s="1765"/>
      <c r="G52" s="1765"/>
      <c r="H52" s="1765"/>
      <c r="I52" s="1765"/>
      <c r="J52" s="176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8">
    <mergeCell ref="B31:J31"/>
    <mergeCell ref="B52:J52"/>
    <mergeCell ref="B3:J3"/>
    <mergeCell ref="B5:J5"/>
    <mergeCell ref="B6:J6"/>
    <mergeCell ref="C9:E9"/>
    <mergeCell ref="B28:J28"/>
    <mergeCell ref="B29:J29"/>
  </mergeCells>
  <pageMargins left="0.25" right="0.25" top="0.5" bottom="0.5" header="0.25" footer="0.25"/>
  <pageSetup paperSize="5" orientation="portrait" r:id="rId5"/>
  <headerFooter alignWithMargins="0"/>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Sheet270">
    <tabColor theme="3" tint="0.79998168889431442"/>
  </sheetPr>
  <dimension ref="B1:R57"/>
  <sheetViews>
    <sheetView topLeftCell="A13" zoomScaleNormal="100" zoomScaleSheetLayoutView="80" workbookViewId="0">
      <selection activeCell="H26" sqref="H26"/>
    </sheetView>
  </sheetViews>
  <sheetFormatPr defaultColWidth="8.88671875" defaultRowHeight="13.2"/>
  <cols>
    <col min="1" max="1" width="4.6640625" style="398" customWidth="1"/>
    <col min="2" max="2" width="4.88671875" style="398" customWidth="1"/>
    <col min="3" max="4" width="4.6640625" style="398" customWidth="1"/>
    <col min="5" max="5" width="30.6640625" style="398" customWidth="1"/>
    <col min="6" max="6" width="15.6640625" style="398" customWidth="1"/>
    <col min="7" max="8" width="16.6640625" style="398" customWidth="1"/>
    <col min="9" max="9" width="3.6640625" style="398" bestFit="1" customWidth="1"/>
    <col min="10" max="10" width="13.5546875" style="398" bestFit="1" customWidth="1"/>
    <col min="11" max="16384" width="8.88671875" style="398"/>
  </cols>
  <sheetData>
    <row r="1" spans="2:18">
      <c r="B1" s="1114"/>
      <c r="C1" s="1114"/>
      <c r="D1" s="1114"/>
      <c r="E1" s="1114"/>
      <c r="F1" s="1114"/>
      <c r="G1" s="1114"/>
      <c r="H1" s="1114"/>
    </row>
    <row r="2" spans="2:18">
      <c r="B2" s="1758" t="s">
        <v>37</v>
      </c>
      <c r="C2" s="1758"/>
      <c r="D2" s="1758"/>
      <c r="E2" s="1758"/>
      <c r="F2" s="1758"/>
      <c r="G2" s="1758"/>
      <c r="H2" s="1758"/>
    </row>
    <row r="3" spans="2:18">
      <c r="B3" s="1758" t="s">
        <v>572</v>
      </c>
      <c r="C3" s="1758"/>
      <c r="D3" s="1758"/>
      <c r="E3" s="1758"/>
      <c r="F3" s="1758"/>
      <c r="G3" s="1758"/>
      <c r="H3" s="1758"/>
    </row>
    <row r="4" spans="2:18">
      <c r="B4" s="1114"/>
      <c r="C4" s="1114"/>
      <c r="D4" s="1114"/>
      <c r="E4" s="1114"/>
      <c r="F4" s="1114"/>
      <c r="G4" s="1114"/>
      <c r="H4" s="1114"/>
    </row>
    <row r="5" spans="2:18" ht="22.8">
      <c r="B5" s="1759" t="s">
        <v>543</v>
      </c>
      <c r="C5" s="1759"/>
      <c r="D5" s="1759"/>
      <c r="E5" s="1759"/>
      <c r="F5" s="1759"/>
      <c r="G5" s="1759"/>
      <c r="H5" s="1759"/>
    </row>
    <row r="6" spans="2:18" ht="22.8">
      <c r="B6" s="1759" t="str">
        <f>"TRIAL  BALANCE - "&amp;UPPER('KEY INPUTS'!D557)&amp;"  UTILITY  FUND"</f>
        <v>TRIAL  BALANCE -   UTILITY  FUND</v>
      </c>
      <c r="C6" s="1759"/>
      <c r="D6" s="1759"/>
      <c r="E6" s="1759"/>
      <c r="F6" s="1759"/>
      <c r="G6" s="1759"/>
      <c r="H6" s="1759"/>
    </row>
    <row r="7" spans="2:18" ht="15.6">
      <c r="B7" s="1760" t="str">
        <f>'KEY INPUTS'!D44</f>
        <v>AS  AT  DECEMBER  31, 2019</v>
      </c>
      <c r="C7" s="1761"/>
      <c r="D7" s="1761"/>
      <c r="E7" s="1761"/>
      <c r="F7" s="1761"/>
      <c r="G7" s="1761"/>
      <c r="H7" s="1761"/>
    </row>
    <row r="8" spans="2:18" ht="15.6">
      <c r="B8" s="1766" t="s">
        <v>573</v>
      </c>
      <c r="C8" s="1766"/>
      <c r="D8" s="1766"/>
      <c r="E8" s="1766"/>
      <c r="F8" s="1766"/>
      <c r="G8" s="1766"/>
      <c r="H8" s="1766"/>
    </row>
    <row r="9" spans="2:18">
      <c r="B9" s="1767" t="s">
        <v>79</v>
      </c>
      <c r="C9" s="1767"/>
      <c r="D9" s="1767"/>
      <c r="E9" s="1767"/>
      <c r="F9" s="1767"/>
      <c r="G9" s="1767"/>
      <c r="H9" s="1767"/>
    </row>
    <row r="10" spans="2:18" ht="15" customHeight="1" thickBot="1">
      <c r="B10" s="1768" t="s">
        <v>80</v>
      </c>
      <c r="C10" s="1768"/>
      <c r="D10" s="1768"/>
      <c r="E10" s="1768"/>
      <c r="F10" s="1768"/>
      <c r="G10" s="1768"/>
      <c r="H10" s="1768"/>
    </row>
    <row r="11" spans="2:18" ht="36" customHeight="1" thickTop="1" thickBot="1">
      <c r="B11" s="1762" t="s">
        <v>124</v>
      </c>
      <c r="C11" s="1762"/>
      <c r="D11" s="1762"/>
      <c r="E11" s="1762"/>
      <c r="F11" s="1763"/>
      <c r="G11" s="1115" t="s">
        <v>125</v>
      </c>
      <c r="H11" s="1116" t="s">
        <v>126</v>
      </c>
      <c r="L11" s="322"/>
      <c r="M11" s="322"/>
      <c r="N11" s="322"/>
      <c r="O11" s="322"/>
      <c r="P11" s="322"/>
      <c r="Q11" s="322"/>
      <c r="R11" s="322"/>
    </row>
    <row r="12" spans="2:18" ht="21" customHeight="1" thickTop="1">
      <c r="B12" s="1114"/>
      <c r="C12" s="1114"/>
      <c r="D12" s="1114"/>
      <c r="E12" s="1114"/>
      <c r="F12" s="1114"/>
      <c r="G12" s="1117"/>
      <c r="H12" s="1118"/>
      <c r="L12" s="322"/>
      <c r="M12" s="322"/>
      <c r="N12" s="322"/>
      <c r="O12" s="322"/>
      <c r="P12" s="322"/>
      <c r="Q12" s="322"/>
      <c r="R12" s="322"/>
    </row>
    <row r="13" spans="2:18" ht="21" customHeight="1">
      <c r="B13" s="690" t="s">
        <v>253</v>
      </c>
      <c r="C13" s="690"/>
      <c r="D13" s="690"/>
      <c r="E13" s="690"/>
      <c r="F13" s="690"/>
      <c r="G13" s="601"/>
      <c r="H13" s="609"/>
      <c r="J13" s="739"/>
      <c r="L13" s="377"/>
      <c r="M13" s="322"/>
      <c r="N13" s="322"/>
      <c r="O13" s="322"/>
      <c r="P13" s="322"/>
      <c r="Q13" s="322"/>
      <c r="R13" s="322"/>
    </row>
    <row r="14" spans="2:18" ht="21" customHeight="1">
      <c r="B14" s="648" t="s">
        <v>419</v>
      </c>
      <c r="C14" s="648"/>
      <c r="D14" s="648"/>
      <c r="E14" s="648"/>
      <c r="F14" s="652"/>
      <c r="G14" s="601"/>
      <c r="H14" s="609"/>
      <c r="J14" s="739"/>
      <c r="L14" s="322"/>
      <c r="M14" s="322"/>
      <c r="N14" s="322"/>
      <c r="O14" s="322"/>
      <c r="P14" s="322"/>
      <c r="Q14" s="322"/>
      <c r="R14" s="322"/>
    </row>
    <row r="15" spans="2:18" ht="21" customHeight="1">
      <c r="B15" s="649"/>
      <c r="C15" s="649"/>
      <c r="D15" s="649"/>
      <c r="E15" s="649"/>
      <c r="F15" s="649"/>
      <c r="G15" s="601"/>
      <c r="H15" s="609"/>
      <c r="L15" s="322"/>
      <c r="M15" s="322"/>
      <c r="N15" s="322"/>
      <c r="O15" s="322"/>
      <c r="P15" s="322"/>
      <c r="Q15" s="322"/>
      <c r="R15" s="322"/>
    </row>
    <row r="16" spans="2:18" ht="21" customHeight="1">
      <c r="B16" s="648" t="s">
        <v>3494</v>
      </c>
      <c r="C16" s="648"/>
      <c r="D16" s="648"/>
      <c r="E16" s="648"/>
      <c r="F16" s="648"/>
      <c r="G16" s="1111"/>
      <c r="H16" s="1111"/>
      <c r="L16" s="322"/>
      <c r="M16" s="322"/>
      <c r="N16" s="322"/>
      <c r="O16" s="322"/>
      <c r="P16" s="322"/>
      <c r="Q16" s="322"/>
      <c r="R16" s="322"/>
    </row>
    <row r="17" spans="2:18" ht="21" customHeight="1">
      <c r="B17" s="648" t="s">
        <v>3494</v>
      </c>
      <c r="C17" s="648"/>
      <c r="D17" s="648"/>
      <c r="E17" s="648"/>
      <c r="F17" s="648"/>
      <c r="G17" s="1111"/>
      <c r="H17" s="1111"/>
      <c r="L17" s="322"/>
      <c r="M17" s="322"/>
      <c r="N17" s="322"/>
      <c r="O17" s="322"/>
      <c r="P17" s="322"/>
      <c r="Q17" s="322"/>
      <c r="R17" s="322"/>
    </row>
    <row r="18" spans="2:18" ht="21" customHeight="1">
      <c r="B18" s="648"/>
      <c r="C18" s="648"/>
      <c r="D18" s="648"/>
      <c r="E18" s="648"/>
      <c r="F18" s="648"/>
      <c r="G18" s="1111"/>
      <c r="H18" s="1111"/>
      <c r="L18" s="322"/>
      <c r="M18" s="322"/>
      <c r="N18" s="322"/>
      <c r="O18" s="322"/>
      <c r="P18" s="322"/>
      <c r="Q18" s="322"/>
      <c r="R18" s="322"/>
    </row>
    <row r="19" spans="2:18" ht="21" customHeight="1">
      <c r="B19" s="1119" t="s">
        <v>3483</v>
      </c>
      <c r="C19" s="1114"/>
      <c r="D19" s="1114"/>
      <c r="E19" s="1114"/>
      <c r="F19" s="1114"/>
      <c r="G19" s="1120"/>
      <c r="H19" s="1121"/>
      <c r="L19" s="322"/>
      <c r="M19" s="322"/>
      <c r="N19" s="322"/>
      <c r="O19" s="322"/>
      <c r="P19" s="322"/>
      <c r="Q19" s="322"/>
      <c r="R19" s="322"/>
    </row>
    <row r="20" spans="2:18" ht="21" customHeight="1">
      <c r="B20" s="690" t="s">
        <v>3484</v>
      </c>
      <c r="C20" s="690"/>
      <c r="D20" s="690"/>
      <c r="E20" s="690"/>
      <c r="F20" s="690"/>
      <c r="G20" s="1122">
        <f>+'47-Utility6'!L24</f>
        <v>0</v>
      </c>
      <c r="H20" s="1123"/>
      <c r="L20" s="322"/>
      <c r="M20" s="322"/>
      <c r="N20" s="322"/>
      <c r="O20" s="322"/>
      <c r="P20" s="322"/>
      <c r="Q20" s="322"/>
      <c r="R20" s="322"/>
    </row>
    <row r="21" spans="2:18" ht="21" customHeight="1">
      <c r="B21" s="690" t="s">
        <v>3485</v>
      </c>
      <c r="C21" s="690"/>
      <c r="D21" s="690"/>
      <c r="E21" s="690"/>
      <c r="F21" s="690"/>
      <c r="G21" s="689">
        <f>+'47-Utility6'!L54</f>
        <v>0</v>
      </c>
      <c r="H21" s="1114"/>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J23" s="739"/>
      <c r="L23" s="322"/>
      <c r="M23" s="322"/>
      <c r="N23" s="322"/>
      <c r="O23" s="322"/>
      <c r="P23" s="322"/>
      <c r="Q23" s="322"/>
      <c r="R23" s="322"/>
    </row>
    <row r="24" spans="2:18" ht="21" customHeight="1">
      <c r="B24" s="648"/>
      <c r="C24" s="648"/>
      <c r="D24" s="648"/>
      <c r="E24" s="648"/>
      <c r="F24" s="648"/>
      <c r="G24" s="601"/>
      <c r="H24" s="609"/>
      <c r="J24" s="73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90" t="s">
        <v>3486</v>
      </c>
      <c r="C26" s="690"/>
      <c r="D26" s="690"/>
      <c r="E26" s="690"/>
      <c r="F26" s="690"/>
      <c r="G26" s="689"/>
      <c r="H26" s="1124"/>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1125" t="s">
        <v>3487</v>
      </c>
      <c r="C30" s="690"/>
      <c r="D30" s="690"/>
      <c r="E30" s="690"/>
      <c r="F30" s="690"/>
      <c r="G30" s="689"/>
      <c r="H30" s="1124"/>
    </row>
    <row r="31" spans="2:18" ht="21" customHeight="1">
      <c r="B31" s="690" t="s">
        <v>3410</v>
      </c>
      <c r="C31" s="690"/>
      <c r="D31" s="690"/>
      <c r="E31" s="690"/>
      <c r="F31" s="690"/>
      <c r="G31" s="601"/>
      <c r="H31" s="1124">
        <f>+'44-Utility6'!I37</f>
        <v>0</v>
      </c>
      <c r="J31" s="739"/>
    </row>
    <row r="32" spans="2:18" ht="21" customHeight="1">
      <c r="B32" s="690" t="s">
        <v>3409</v>
      </c>
      <c r="C32" s="690"/>
      <c r="D32" s="690"/>
      <c r="E32" s="690"/>
      <c r="F32" s="690"/>
      <c r="G32" s="601"/>
      <c r="H32" s="609"/>
    </row>
    <row r="33" spans="2:18" ht="21" customHeight="1">
      <c r="B33" s="690" t="s">
        <v>3408</v>
      </c>
      <c r="C33" s="690"/>
      <c r="D33" s="690"/>
      <c r="E33" s="690"/>
      <c r="F33" s="690"/>
      <c r="G33" s="601"/>
      <c r="H33" s="1126">
        <f>+'49-Utility6'!I29+'49a-Utility6'!I29+'50-Utility6'!M24+'49a.1-Utility6'!I29</f>
        <v>0</v>
      </c>
      <c r="J33" s="739"/>
    </row>
    <row r="34" spans="2:18" ht="21" customHeight="1">
      <c r="B34" s="648" t="s">
        <v>3495</v>
      </c>
      <c r="C34" s="648"/>
      <c r="D34" s="648"/>
      <c r="E34" s="648"/>
      <c r="F34" s="652"/>
      <c r="G34" s="601"/>
      <c r="H34" s="609"/>
    </row>
    <row r="35" spans="2:18" ht="21" customHeight="1">
      <c r="B35" s="648"/>
      <c r="C35" s="648"/>
      <c r="D35" s="648"/>
      <c r="E35" s="648"/>
      <c r="F35" s="648"/>
      <c r="G35" s="601"/>
      <c r="H35" s="609"/>
      <c r="L35" s="322"/>
      <c r="M35" s="322"/>
      <c r="N35" s="322"/>
      <c r="O35" s="322"/>
      <c r="P35" s="322"/>
      <c r="Q35" s="322"/>
      <c r="R35" s="322"/>
    </row>
    <row r="36" spans="2:18" ht="21" customHeight="1">
      <c r="B36" s="648"/>
      <c r="C36" s="648"/>
      <c r="D36" s="648"/>
      <c r="E36" s="648"/>
      <c r="F36" s="648"/>
      <c r="G36" s="601"/>
      <c r="H36" s="609"/>
      <c r="J36" s="739"/>
      <c r="L36" s="322"/>
      <c r="M36" s="322"/>
      <c r="N36" s="322"/>
      <c r="O36" s="322"/>
      <c r="P36" s="322"/>
      <c r="Q36" s="322"/>
      <c r="R36" s="322"/>
    </row>
    <row r="37" spans="2:18" ht="21" customHeight="1">
      <c r="B37" s="648"/>
      <c r="C37" s="648"/>
      <c r="D37" s="648"/>
      <c r="E37" s="648"/>
      <c r="F37" s="648"/>
      <c r="G37" s="601"/>
      <c r="H37" s="609"/>
      <c r="J37" s="739"/>
      <c r="L37" s="322"/>
      <c r="M37" s="322"/>
      <c r="N37" s="322"/>
      <c r="O37" s="322"/>
      <c r="P37" s="322"/>
      <c r="Q37" s="322"/>
      <c r="R37" s="322"/>
    </row>
    <row r="38" spans="2:18" ht="21" customHeight="1" thickBot="1">
      <c r="B38" s="648"/>
      <c r="C38" s="648"/>
      <c r="D38" s="648"/>
      <c r="E38" s="648"/>
      <c r="F38" s="648"/>
      <c r="G38" s="601"/>
      <c r="H38" s="633"/>
      <c r="L38" s="322"/>
      <c r="M38" s="322"/>
      <c r="N38" s="322"/>
      <c r="O38" s="322"/>
      <c r="P38" s="322"/>
      <c r="Q38" s="322"/>
      <c r="R38" s="322"/>
    </row>
    <row r="39" spans="2:18" ht="21" customHeight="1" thickTop="1">
      <c r="B39" s="690"/>
      <c r="C39" s="690" t="s">
        <v>3407</v>
      </c>
      <c r="D39" s="690"/>
      <c r="E39" s="690"/>
      <c r="F39" s="1284"/>
      <c r="G39" s="1285"/>
      <c r="H39" s="1127">
        <f>SUM(H30:H38)</f>
        <v>0</v>
      </c>
      <c r="I39" s="398" t="s">
        <v>997</v>
      </c>
    </row>
    <row r="40" spans="2:18" ht="21" customHeight="1">
      <c r="B40" s="1128" t="s">
        <v>3496</v>
      </c>
      <c r="C40" s="1128"/>
      <c r="D40" s="1128"/>
      <c r="E40" s="1128"/>
      <c r="F40" s="1128"/>
      <c r="G40" s="1123"/>
      <c r="H40" s="1111"/>
    </row>
    <row r="41" spans="2:18" ht="21" customHeight="1">
      <c r="B41" s="690"/>
      <c r="C41" s="690"/>
      <c r="D41" s="690"/>
      <c r="E41" s="690"/>
      <c r="F41" s="690"/>
      <c r="G41" s="689"/>
      <c r="H41" s="1124"/>
    </row>
    <row r="42" spans="2:18" ht="21" customHeight="1">
      <c r="B42" s="690" t="s">
        <v>777</v>
      </c>
      <c r="C42" s="690"/>
      <c r="D42" s="690"/>
      <c r="E42" s="690"/>
      <c r="F42" s="690"/>
      <c r="G42" s="689"/>
      <c r="H42" s="1124">
        <f>+'46-Utility6'!K27</f>
        <v>0</v>
      </c>
    </row>
    <row r="43" spans="2:18" ht="21" customHeight="1" thickBot="1">
      <c r="B43" s="690"/>
      <c r="C43" s="690"/>
      <c r="D43" s="690"/>
      <c r="E43" s="690"/>
      <c r="F43" s="690"/>
      <c r="G43" s="1129"/>
      <c r="H43" s="1130"/>
    </row>
    <row r="44" spans="2:18" ht="21" customHeight="1" thickBot="1">
      <c r="B44" s="690" t="s">
        <v>3497</v>
      </c>
      <c r="C44" s="690"/>
      <c r="D44" s="690"/>
      <c r="E44" s="690"/>
      <c r="F44" s="690"/>
      <c r="G44" s="1131">
        <f>SUM(G12:G43)</f>
        <v>0</v>
      </c>
      <c r="H44" s="1132">
        <f>SUM(H39:H43)</f>
        <v>0</v>
      </c>
      <c r="J44" s="399">
        <f>G44-H44</f>
        <v>0</v>
      </c>
    </row>
    <row r="45" spans="2:18" ht="13.8" thickTop="1">
      <c r="B45" s="1864" t="s">
        <v>127</v>
      </c>
      <c r="C45" s="1864"/>
      <c r="D45" s="1864"/>
      <c r="E45" s="1864"/>
      <c r="F45" s="1864"/>
      <c r="G45" s="1864"/>
      <c r="H45" s="1864"/>
    </row>
    <row r="46" spans="2:18">
      <c r="B46" s="1299"/>
      <c r="C46" s="1299"/>
      <c r="D46" s="1299"/>
      <c r="E46" s="1299"/>
      <c r="F46" s="1299"/>
      <c r="G46" s="1299"/>
      <c r="H46" s="1299"/>
    </row>
    <row r="47" spans="2:18">
      <c r="B47" s="1299"/>
      <c r="C47" s="1299"/>
      <c r="D47" s="1299"/>
      <c r="E47" s="1299"/>
      <c r="F47" s="1299"/>
      <c r="G47" s="1299"/>
      <c r="H47" s="1299"/>
    </row>
    <row r="48" spans="2:18">
      <c r="B48" s="1299"/>
      <c r="C48" s="1299"/>
      <c r="D48" s="1299"/>
      <c r="E48" s="1299"/>
      <c r="F48" s="1299"/>
      <c r="G48" s="1299"/>
      <c r="H48" s="1299"/>
    </row>
    <row r="49" spans="2:8">
      <c r="B49" s="1299"/>
      <c r="C49" s="1299"/>
      <c r="D49" s="1299"/>
      <c r="E49" s="1299"/>
      <c r="F49" s="1299"/>
      <c r="G49" s="1299"/>
      <c r="H49" s="1299"/>
    </row>
    <row r="50" spans="2:8" ht="13.8">
      <c r="B50" s="1950" t="s">
        <v>3405</v>
      </c>
      <c r="C50" s="1950"/>
      <c r="D50" s="1950"/>
      <c r="E50" s="1950"/>
      <c r="F50" s="1950"/>
      <c r="G50" s="1950"/>
      <c r="H50" s="1950"/>
    </row>
    <row r="54" spans="2:8">
      <c r="H54" s="399"/>
    </row>
    <row r="57" spans="2:8">
      <c r="H57" s="399">
        <f>+H44-G44</f>
        <v>0</v>
      </c>
    </row>
  </sheetData>
  <sheetProtection algorithmName="SHA-512" hashValue="oM1iS18JKImUv6XH/qoi1Y28ACZXXvCO/EGs//dihuiGUMWcQr2S6nfa6dX1/nwedvxnf3Ed4X/kEyh3n9oqDw==" saltValue="Ecknm2d2pLjilxT7gNaWXA==" spinCount="100000" sheet="1" objects="1" scenarios="1"/>
  <customSheetViews>
    <customSheetView guid="{AC653BD0-46E3-42CB-9C76-32121A57B65A}" topLeftCell="A13">
      <selection activeCell="H26" sqref="H26"/>
      <pageMargins left="0.25" right="0.25" top="0.5" bottom="0.5" header="0.25" footer="0.25"/>
      <pageSetup paperSize="5" orientation="portrait" r:id="rId1"/>
      <headerFooter alignWithMargins="0"/>
    </customSheetView>
    <customSheetView guid="{B165479B-DC25-403C-9595-F1A88A4AA9A2}" topLeftCell="A13">
      <selection activeCell="H26" sqref="H26"/>
      <pageMargins left="0.25" right="0.25" top="0.5" bottom="0.5" header="0.25" footer="0.25"/>
      <pageSetup paperSize="5" orientation="portrait" r:id="rId2"/>
      <headerFooter alignWithMargins="0"/>
    </customSheetView>
    <customSheetView guid="{A64E4C9E-A3DA-4AAA-8607-F524450B9436}" topLeftCell="A13">
      <selection activeCell="H26" sqref="H26"/>
      <pageMargins left="0.25" right="0.25" top="0.5" bottom="0.5" header="0.25" footer="0.25"/>
      <pageSetup paperSize="5" orientation="portrait" r:id="rId3"/>
      <headerFooter alignWithMargins="0"/>
    </customSheetView>
    <customSheetView guid="{AB4FBD91-4533-473A-9702-569FF6402073}" topLeftCell="A13">
      <selection activeCell="H26" sqref="H26"/>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Sheet271">
    <tabColor theme="3" tint="0.79998168889431442"/>
  </sheetPr>
  <dimension ref="B1:Q55"/>
  <sheetViews>
    <sheetView zoomScaleNormal="100" zoomScaleSheetLayoutView="80" workbookViewId="0">
      <selection activeCell="B1" sqref="B1"/>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1" spans="2:17">
      <c r="B1" s="1114"/>
      <c r="C1" s="1114"/>
      <c r="D1" s="1114"/>
      <c r="E1" s="1114"/>
      <c r="F1" s="1114"/>
      <c r="G1" s="1114"/>
      <c r="H1" s="1114"/>
    </row>
    <row r="2" spans="2:17">
      <c r="B2" s="1758" t="s">
        <v>37</v>
      </c>
      <c r="C2" s="1758"/>
      <c r="D2" s="1758"/>
      <c r="E2" s="1758"/>
      <c r="F2" s="1758"/>
      <c r="G2" s="1758"/>
      <c r="H2" s="1758"/>
    </row>
    <row r="3" spans="2:17">
      <c r="B3" s="1758" t="s">
        <v>572</v>
      </c>
      <c r="C3" s="1758"/>
      <c r="D3" s="1758"/>
      <c r="E3" s="1758"/>
      <c r="F3" s="1758"/>
      <c r="G3" s="1758"/>
      <c r="H3" s="1758"/>
    </row>
    <row r="4" spans="2:17">
      <c r="B4" s="1114"/>
      <c r="C4" s="1114"/>
      <c r="D4" s="1114"/>
      <c r="E4" s="1114"/>
      <c r="F4" s="1114"/>
      <c r="G4" s="1114"/>
      <c r="H4" s="1114"/>
    </row>
    <row r="5" spans="2:17" ht="22.8">
      <c r="B5" s="1759" t="s">
        <v>543</v>
      </c>
      <c r="C5" s="1759"/>
      <c r="D5" s="1759"/>
      <c r="E5" s="1759"/>
      <c r="F5" s="1759"/>
      <c r="G5" s="1759"/>
      <c r="H5" s="1759"/>
    </row>
    <row r="6" spans="2:17" ht="22.8">
      <c r="B6" s="1759" t="str">
        <f>"TRIAL  BALANCE - "&amp;UPPER('KEY INPUTS'!D57)&amp;"  UTILITY  FUND (cont'd)"</f>
        <v>TRIAL  BALANCE -   UTILITY  FUND (cont'd)</v>
      </c>
      <c r="C6" s="1759"/>
      <c r="D6" s="1759"/>
      <c r="E6" s="1759"/>
      <c r="F6" s="1759"/>
      <c r="G6" s="1759"/>
      <c r="H6" s="1759"/>
    </row>
    <row r="7" spans="2:17" ht="15.6">
      <c r="B7" s="1760" t="str">
        <f>'KEY INPUTS'!D44</f>
        <v>AS  AT  DECEMBER  31, 2019</v>
      </c>
      <c r="C7" s="1761"/>
      <c r="D7" s="1761"/>
      <c r="E7" s="1761"/>
      <c r="F7" s="1761"/>
      <c r="G7" s="1761"/>
      <c r="H7" s="1761"/>
    </row>
    <row r="8" spans="2:17" ht="15.6">
      <c r="B8" s="1766" t="s">
        <v>573</v>
      </c>
      <c r="C8" s="1766"/>
      <c r="D8" s="1766"/>
      <c r="E8" s="1766"/>
      <c r="F8" s="1766"/>
      <c r="G8" s="1766"/>
      <c r="H8" s="1766"/>
    </row>
    <row r="9" spans="2:17">
      <c r="B9" s="1767" t="s">
        <v>79</v>
      </c>
      <c r="C9" s="1767"/>
      <c r="D9" s="1767"/>
      <c r="E9" s="1767"/>
      <c r="F9" s="1767"/>
      <c r="G9" s="1767"/>
      <c r="H9" s="1767"/>
    </row>
    <row r="10" spans="2:17" ht="15" customHeight="1" thickBot="1">
      <c r="B10" s="1768" t="s">
        <v>80</v>
      </c>
      <c r="C10" s="1768"/>
      <c r="D10" s="1768"/>
      <c r="E10" s="1768"/>
      <c r="F10" s="1768"/>
      <c r="G10" s="1768"/>
      <c r="H10" s="1768"/>
    </row>
    <row r="11" spans="2:17" ht="36" customHeight="1" thickTop="1" thickBot="1">
      <c r="B11" s="1762" t="s">
        <v>124</v>
      </c>
      <c r="C11" s="1762"/>
      <c r="D11" s="1762"/>
      <c r="E11" s="1762"/>
      <c r="F11" s="1763"/>
      <c r="G11" s="1115" t="s">
        <v>125</v>
      </c>
      <c r="H11" s="1116" t="s">
        <v>126</v>
      </c>
    </row>
    <row r="12" spans="2:17" ht="21" customHeight="1" thickTop="1">
      <c r="B12" s="1114"/>
      <c r="C12" s="1114"/>
      <c r="D12" s="1114"/>
      <c r="E12" s="1114"/>
      <c r="F12" s="1114"/>
      <c r="G12" s="1117"/>
      <c r="H12" s="1118"/>
    </row>
    <row r="13" spans="2:17" ht="21" customHeight="1">
      <c r="B13" s="1125" t="s">
        <v>808</v>
      </c>
      <c r="C13" s="690"/>
      <c r="D13" s="690"/>
      <c r="E13" s="690"/>
      <c r="F13" s="690"/>
      <c r="G13" s="689"/>
      <c r="H13" s="1124"/>
      <c r="K13" s="322"/>
      <c r="L13" s="322"/>
      <c r="M13" s="322"/>
      <c r="N13" s="322"/>
      <c r="O13" s="322"/>
      <c r="P13" s="322"/>
      <c r="Q13" s="322"/>
    </row>
    <row r="14" spans="2:17" ht="21" customHeight="1">
      <c r="B14" s="690"/>
      <c r="C14" s="690"/>
      <c r="D14" s="690"/>
      <c r="E14" s="690"/>
      <c r="F14" s="690"/>
      <c r="G14" s="689"/>
      <c r="H14" s="1124"/>
      <c r="K14" s="322"/>
      <c r="L14" s="322"/>
      <c r="M14" s="322"/>
      <c r="N14" s="322"/>
      <c r="O14" s="322"/>
      <c r="P14" s="322"/>
      <c r="Q14" s="322"/>
    </row>
    <row r="15" spans="2:17" ht="21" customHeight="1">
      <c r="B15" s="1114" t="s">
        <v>251</v>
      </c>
      <c r="C15" s="690"/>
      <c r="D15" s="690"/>
      <c r="E15" s="690"/>
      <c r="F15" s="690"/>
      <c r="G15" s="372"/>
      <c r="H15" s="1300" t="s">
        <v>787</v>
      </c>
      <c r="K15" s="377"/>
      <c r="L15" s="322"/>
      <c r="M15" s="322"/>
      <c r="N15" s="322"/>
      <c r="O15" s="322"/>
      <c r="P15" s="322"/>
      <c r="Q15" s="322"/>
    </row>
    <row r="16" spans="2:17" ht="21" customHeight="1">
      <c r="B16" s="690" t="s">
        <v>252</v>
      </c>
      <c r="C16" s="690"/>
      <c r="D16" s="690"/>
      <c r="E16" s="690"/>
      <c r="F16" s="690"/>
      <c r="G16" s="1174" t="s">
        <v>787</v>
      </c>
      <c r="H16" s="913">
        <f>+G15</f>
        <v>0</v>
      </c>
      <c r="K16" s="322"/>
      <c r="L16" s="322"/>
      <c r="M16" s="322"/>
      <c r="N16" s="322"/>
      <c r="O16" s="322"/>
      <c r="P16" s="322"/>
      <c r="Q16" s="322"/>
    </row>
    <row r="17" spans="2:17" ht="21" customHeight="1">
      <c r="B17" s="690"/>
      <c r="C17" s="690"/>
      <c r="D17" s="690"/>
      <c r="E17" s="690"/>
      <c r="F17" s="690"/>
      <c r="G17" s="906"/>
      <c r="H17" s="913"/>
      <c r="K17" s="322"/>
      <c r="L17" s="322"/>
      <c r="M17" s="322"/>
      <c r="N17" s="322"/>
      <c r="O17" s="322"/>
      <c r="P17" s="322"/>
      <c r="Q17" s="322"/>
    </row>
    <row r="18" spans="2:17" ht="21" customHeight="1">
      <c r="B18" s="690"/>
      <c r="C18" s="690" t="s">
        <v>459</v>
      </c>
      <c r="D18" s="690"/>
      <c r="E18" s="690"/>
      <c r="F18" s="690"/>
      <c r="G18" s="372"/>
      <c r="H18" s="568"/>
      <c r="K18" s="322"/>
      <c r="L18" s="322"/>
      <c r="M18" s="322"/>
      <c r="N18" s="322"/>
      <c r="O18" s="322"/>
      <c r="P18" s="322"/>
      <c r="Q18" s="322"/>
    </row>
    <row r="19" spans="2:17" ht="21" customHeight="1">
      <c r="B19" s="402"/>
      <c r="C19" s="648"/>
      <c r="D19" s="648"/>
      <c r="E19" s="648"/>
      <c r="F19" s="648"/>
      <c r="G19" s="372"/>
      <c r="H19" s="568"/>
      <c r="K19" s="322"/>
      <c r="L19" s="322"/>
      <c r="M19" s="322"/>
      <c r="N19" s="322"/>
      <c r="O19" s="322"/>
      <c r="P19" s="322"/>
      <c r="Q19" s="322"/>
    </row>
    <row r="20" spans="2:17" ht="21" customHeight="1">
      <c r="B20" s="690"/>
      <c r="C20" s="690" t="s">
        <v>1153</v>
      </c>
      <c r="D20" s="690"/>
      <c r="E20" s="690"/>
      <c r="F20" s="690"/>
      <c r="G20" s="372"/>
      <c r="H20" s="568"/>
      <c r="K20" s="322"/>
      <c r="L20" s="322"/>
      <c r="M20" s="322"/>
      <c r="N20" s="322"/>
      <c r="O20" s="322"/>
      <c r="P20" s="322"/>
      <c r="Q20" s="322"/>
    </row>
    <row r="21" spans="2:17" ht="21" customHeight="1">
      <c r="B21" s="690"/>
      <c r="C21" s="690" t="s">
        <v>809</v>
      </c>
      <c r="D21" s="690"/>
      <c r="E21" s="690"/>
      <c r="F21" s="690"/>
      <c r="G21" s="906"/>
      <c r="H21" s="907"/>
      <c r="K21" s="322"/>
      <c r="L21" s="322"/>
      <c r="M21" s="322"/>
      <c r="N21" s="322"/>
      <c r="O21" s="322"/>
      <c r="P21" s="322"/>
      <c r="Q21" s="322"/>
    </row>
    <row r="22" spans="2:17" ht="21" customHeight="1">
      <c r="B22" s="690"/>
      <c r="C22" s="690"/>
      <c r="D22" s="690" t="s">
        <v>104</v>
      </c>
      <c r="E22" s="690"/>
      <c r="F22" s="690"/>
      <c r="G22" s="372"/>
      <c r="H22" s="568"/>
      <c r="K22" s="322"/>
      <c r="L22" s="322"/>
      <c r="M22" s="322"/>
      <c r="N22" s="322"/>
      <c r="O22" s="322"/>
      <c r="P22" s="322"/>
      <c r="Q22" s="322"/>
    </row>
    <row r="23" spans="2:17" ht="21" customHeight="1">
      <c r="B23" s="690"/>
      <c r="C23" s="690"/>
      <c r="D23" s="690" t="s">
        <v>837</v>
      </c>
      <c r="E23" s="690"/>
      <c r="F23" s="690"/>
      <c r="G23" s="372"/>
      <c r="H23" s="568"/>
      <c r="K23" s="322"/>
      <c r="L23" s="322"/>
      <c r="M23" s="322"/>
      <c r="N23" s="322"/>
      <c r="O23" s="322"/>
      <c r="P23" s="322"/>
      <c r="Q23" s="322"/>
    </row>
    <row r="24" spans="2:17" ht="21" customHeight="1">
      <c r="B24" s="402"/>
      <c r="C24" s="648"/>
      <c r="D24" s="648" t="s">
        <v>3406</v>
      </c>
      <c r="E24" s="648"/>
      <c r="F24" s="648"/>
      <c r="G24" s="372"/>
      <c r="H24" s="589"/>
      <c r="K24" s="322"/>
      <c r="L24" s="322"/>
      <c r="M24" s="322"/>
      <c r="N24" s="322"/>
      <c r="O24" s="322"/>
      <c r="P24" s="322"/>
      <c r="Q24" s="322"/>
    </row>
    <row r="25" spans="2:17" ht="21" customHeight="1">
      <c r="B25" s="402"/>
      <c r="C25" s="648"/>
      <c r="D25" s="648" t="s">
        <v>3406</v>
      </c>
      <c r="E25" s="648"/>
      <c r="F25" s="648"/>
      <c r="G25" s="372"/>
      <c r="H25" s="589" t="s">
        <v>3406</v>
      </c>
    </row>
    <row r="26" spans="2:17" ht="21" customHeight="1">
      <c r="B26" s="402"/>
      <c r="C26" s="649"/>
      <c r="D26" s="648"/>
      <c r="E26" s="648"/>
      <c r="F26" s="648"/>
      <c r="G26" s="372"/>
      <c r="H26" s="651"/>
    </row>
    <row r="27" spans="2:17" ht="21" customHeight="1">
      <c r="B27" s="402"/>
      <c r="C27" s="648" t="s">
        <v>3406</v>
      </c>
      <c r="D27" s="648"/>
      <c r="E27" s="648"/>
      <c r="F27" s="648"/>
      <c r="G27" s="372"/>
      <c r="H27" s="589" t="s">
        <v>3406</v>
      </c>
    </row>
    <row r="28" spans="2:17" ht="21" customHeight="1">
      <c r="B28" s="402"/>
      <c r="C28" s="648"/>
      <c r="D28" s="648"/>
      <c r="E28" s="648"/>
      <c r="F28" s="648"/>
      <c r="G28" s="372"/>
      <c r="H28" s="589"/>
    </row>
    <row r="29" spans="2:17" ht="21" customHeight="1">
      <c r="B29" s="402"/>
      <c r="C29" s="648"/>
      <c r="D29" s="648" t="s">
        <v>3406</v>
      </c>
      <c r="E29" s="648"/>
      <c r="F29" s="648"/>
      <c r="G29" s="372"/>
      <c r="H29" s="589"/>
      <c r="K29" s="322"/>
      <c r="L29" s="322"/>
      <c r="M29" s="322"/>
      <c r="N29" s="322"/>
      <c r="O29" s="322"/>
      <c r="P29" s="322"/>
      <c r="Q29" s="322"/>
    </row>
    <row r="30" spans="2:17" ht="21" customHeight="1">
      <c r="B30" s="402"/>
      <c r="C30" s="648"/>
      <c r="D30" s="648" t="s">
        <v>3406</v>
      </c>
      <c r="E30" s="648"/>
      <c r="F30" s="648"/>
      <c r="G30" s="372"/>
      <c r="H30" s="589"/>
      <c r="K30" s="322"/>
      <c r="L30" s="322"/>
      <c r="M30" s="322"/>
      <c r="N30" s="322"/>
      <c r="O30" s="322"/>
      <c r="P30" s="322"/>
      <c r="Q30" s="322"/>
    </row>
    <row r="31" spans="2:17" ht="21" customHeight="1">
      <c r="B31" s="402"/>
      <c r="C31" s="648"/>
      <c r="D31" s="648" t="s">
        <v>3406</v>
      </c>
      <c r="E31" s="648"/>
      <c r="F31" s="648"/>
      <c r="G31" s="372"/>
      <c r="H31" s="589" t="s">
        <v>3406</v>
      </c>
    </row>
    <row r="32" spans="2:17" ht="21" customHeight="1">
      <c r="B32" s="402"/>
      <c r="C32" s="649"/>
      <c r="D32" s="648"/>
      <c r="E32" s="648"/>
      <c r="F32" s="648"/>
      <c r="G32" s="372"/>
      <c r="H32" s="651"/>
    </row>
    <row r="33" spans="2:17" ht="21" customHeight="1">
      <c r="B33" s="402"/>
      <c r="C33" s="648" t="s">
        <v>3406</v>
      </c>
      <c r="D33" s="648"/>
      <c r="E33" s="648"/>
      <c r="F33" s="648"/>
      <c r="G33" s="372"/>
      <c r="H33" s="589" t="s">
        <v>3406</v>
      </c>
    </row>
    <row r="34" spans="2:17" ht="21" customHeight="1">
      <c r="B34" s="402"/>
      <c r="C34" s="648"/>
      <c r="D34" s="648"/>
      <c r="E34" s="648"/>
      <c r="F34" s="648"/>
      <c r="G34" s="372"/>
      <c r="H34" s="589"/>
    </row>
    <row r="35" spans="2:17" ht="21" customHeight="1">
      <c r="B35" s="402"/>
      <c r="C35" s="648"/>
      <c r="D35" s="648" t="s">
        <v>3406</v>
      </c>
      <c r="E35" s="648"/>
      <c r="F35" s="648"/>
      <c r="G35" s="372"/>
      <c r="H35" s="589"/>
      <c r="K35" s="322"/>
      <c r="L35" s="322"/>
      <c r="M35" s="322"/>
      <c r="N35" s="322"/>
      <c r="O35" s="322"/>
      <c r="P35" s="322"/>
      <c r="Q35" s="322"/>
    </row>
    <row r="36" spans="2:17" ht="21" customHeight="1">
      <c r="B36" s="402"/>
      <c r="C36" s="648"/>
      <c r="D36" s="648" t="s">
        <v>3406</v>
      </c>
      <c r="E36" s="648"/>
      <c r="F36" s="648"/>
      <c r="G36" s="372"/>
      <c r="H36" s="589" t="s">
        <v>3406</v>
      </c>
    </row>
    <row r="37" spans="2:17" ht="21" customHeight="1">
      <c r="B37" s="402"/>
      <c r="C37" s="649"/>
      <c r="D37" s="648"/>
      <c r="E37" s="648"/>
      <c r="F37" s="648"/>
      <c r="G37" s="372"/>
      <c r="H37" s="651"/>
    </row>
    <row r="38" spans="2:17" ht="21" customHeight="1">
      <c r="B38" s="402"/>
      <c r="C38" s="648" t="s">
        <v>3406</v>
      </c>
      <c r="D38" s="648"/>
      <c r="E38" s="648"/>
      <c r="F38" s="648"/>
      <c r="G38" s="372"/>
      <c r="H38" s="589" t="s">
        <v>3406</v>
      </c>
    </row>
    <row r="39" spans="2:17" ht="21" customHeight="1">
      <c r="B39" s="402"/>
      <c r="C39" s="648"/>
      <c r="D39" s="648"/>
      <c r="E39" s="648"/>
      <c r="F39" s="648"/>
      <c r="G39" s="372"/>
      <c r="H39" s="589"/>
    </row>
    <row r="40" spans="2:17" ht="21" customHeight="1">
      <c r="B40" s="402"/>
      <c r="C40" s="648"/>
      <c r="D40" s="648"/>
      <c r="E40" s="648"/>
      <c r="F40" s="648"/>
      <c r="G40" s="372"/>
      <c r="H40" s="589"/>
    </row>
    <row r="41" spans="2:17" ht="21" customHeight="1">
      <c r="B41" s="402"/>
      <c r="C41" s="648" t="s">
        <v>3406</v>
      </c>
      <c r="D41" s="648"/>
      <c r="E41" s="648"/>
      <c r="F41" s="648"/>
      <c r="G41" s="372"/>
      <c r="H41" s="589" t="s">
        <v>3406</v>
      </c>
    </row>
    <row r="42" spans="2:17" ht="21" customHeight="1">
      <c r="B42" s="402"/>
      <c r="C42" s="648" t="s">
        <v>3406</v>
      </c>
      <c r="D42" s="648"/>
      <c r="E42" s="648"/>
      <c r="F42" s="648"/>
      <c r="G42" s="372"/>
      <c r="H42" s="589" t="s">
        <v>3406</v>
      </c>
    </row>
    <row r="43" spans="2:17" ht="21" customHeight="1" thickBot="1">
      <c r="B43" s="690"/>
      <c r="C43" s="690"/>
      <c r="D43" s="690"/>
      <c r="E43" s="690"/>
      <c r="F43" s="690"/>
      <c r="G43" s="1294"/>
      <c r="H43" s="1295"/>
      <c r="I43" s="399"/>
      <c r="M43" s="399"/>
    </row>
    <row r="44" spans="2:17" ht="21" customHeight="1" thickBot="1">
      <c r="B44" s="690"/>
      <c r="C44" s="690" t="s">
        <v>3545</v>
      </c>
      <c r="D44" s="690"/>
      <c r="E44" s="690"/>
      <c r="F44" s="690"/>
      <c r="G44" s="1296">
        <f>SUM(G15:G42)</f>
        <v>0</v>
      </c>
      <c r="H44" s="1297">
        <f>SUM(H15:H43)</f>
        <v>0</v>
      </c>
      <c r="I44" s="399"/>
      <c r="K44" s="399"/>
    </row>
    <row r="45" spans="2:17" ht="13.8" thickTop="1">
      <c r="B45" s="1917" t="s">
        <v>127</v>
      </c>
      <c r="C45" s="1917"/>
      <c r="D45" s="1917"/>
      <c r="E45" s="1917"/>
      <c r="F45" s="1917"/>
      <c r="G45" s="1918"/>
      <c r="H45" s="1918"/>
    </row>
    <row r="46" spans="2:17">
      <c r="B46" s="1299"/>
      <c r="C46" s="1299"/>
      <c r="D46" s="1299"/>
      <c r="E46" s="1299"/>
      <c r="F46" s="1299"/>
      <c r="G46" s="1299"/>
      <c r="H46" s="1299"/>
    </row>
    <row r="47" spans="2:17">
      <c r="B47" s="1299"/>
      <c r="C47" s="1299"/>
      <c r="D47" s="1299"/>
      <c r="E47" s="1299"/>
      <c r="F47" s="1299"/>
      <c r="G47" s="1299"/>
      <c r="H47" s="1299"/>
    </row>
    <row r="48" spans="2:17">
      <c r="B48" s="1299"/>
      <c r="C48" s="1299"/>
      <c r="D48" s="1299"/>
      <c r="E48" s="1299"/>
      <c r="F48" s="1299"/>
      <c r="G48" s="1299"/>
      <c r="H48" s="1299"/>
    </row>
    <row r="49" spans="2:8">
      <c r="B49" s="1299"/>
      <c r="C49" s="1299"/>
      <c r="D49" s="1299"/>
      <c r="E49" s="1299"/>
      <c r="F49" s="1299"/>
      <c r="G49" s="1299"/>
      <c r="H49" s="1299"/>
    </row>
    <row r="50" spans="2:8" ht="13.8">
      <c r="B50" s="1950" t="s">
        <v>3411</v>
      </c>
      <c r="C50" s="1950"/>
      <c r="D50" s="1950"/>
      <c r="E50" s="1950"/>
      <c r="F50" s="1950"/>
      <c r="G50" s="1950"/>
      <c r="H50" s="1950"/>
    </row>
    <row r="55" spans="2:8">
      <c r="H55" s="399"/>
    </row>
  </sheetData>
  <sheetProtection algorithmName="SHA-512" hashValue="Rh2R4Pp9yZgmV/xr3gJ6BtYKw/kVXdrX/vZIcie+vqHxsDtqkGjXjh3o2JWYMJyqYDczOTneL1Rf/nrEhFRweA==" saltValue="g9itsj/Om6vdZduwwo6tN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Sheet272">
    <tabColor theme="3" tint="0.79998168889431442"/>
  </sheetPr>
  <dimension ref="B1:Q55"/>
  <sheetViews>
    <sheetView zoomScaleNormal="100" zoomScaleSheetLayoutView="80" workbookViewId="0">
      <selection activeCell="H22" sqref="H22"/>
    </sheetView>
  </sheetViews>
  <sheetFormatPr defaultColWidth="8.88671875" defaultRowHeight="13.2"/>
  <cols>
    <col min="1" max="1" width="4.6640625" style="398" customWidth="1"/>
    <col min="2" max="2" width="4.88671875" style="398" customWidth="1"/>
    <col min="3" max="4" width="4.6640625" style="398" customWidth="1"/>
    <col min="5" max="5" width="34.33203125" style="398" customWidth="1"/>
    <col min="6" max="6" width="15.6640625" style="398" customWidth="1"/>
    <col min="7" max="8" width="16.6640625" style="398" customWidth="1"/>
    <col min="9" max="9" width="10.88671875" style="398" bestFit="1" customWidth="1"/>
    <col min="10" max="10" width="8.88671875" style="398"/>
    <col min="11" max="11" width="10.33203125" style="398" bestFit="1" customWidth="1"/>
    <col min="12" max="12" width="8.88671875" style="398"/>
    <col min="13" max="13" width="13.88671875" style="398" bestFit="1" customWidth="1"/>
    <col min="14" max="16384" width="8.88671875" style="398"/>
  </cols>
  <sheetData>
    <row r="1" spans="2:17">
      <c r="B1" s="1114"/>
      <c r="C1" s="1114"/>
      <c r="D1" s="1114"/>
      <c r="E1" s="1114"/>
      <c r="F1" s="1114"/>
      <c r="G1" s="1114"/>
      <c r="H1" s="1114"/>
    </row>
    <row r="2" spans="2:17">
      <c r="B2" s="1758" t="s">
        <v>37</v>
      </c>
      <c r="C2" s="1758"/>
      <c r="D2" s="1758"/>
      <c r="E2" s="1758"/>
      <c r="F2" s="1758"/>
      <c r="G2" s="1758"/>
      <c r="H2" s="1758"/>
    </row>
    <row r="3" spans="2:17">
      <c r="B3" s="1758" t="s">
        <v>572</v>
      </c>
      <c r="C3" s="1758"/>
      <c r="D3" s="1758"/>
      <c r="E3" s="1758"/>
      <c r="F3" s="1758"/>
      <c r="G3" s="1758"/>
      <c r="H3" s="1758"/>
    </row>
    <row r="4" spans="2:17">
      <c r="B4" s="1114"/>
      <c r="C4" s="1114"/>
      <c r="D4" s="1114"/>
      <c r="E4" s="1114"/>
      <c r="F4" s="1114"/>
      <c r="G4" s="1114"/>
      <c r="H4" s="1114"/>
    </row>
    <row r="5" spans="2:17" ht="22.8">
      <c r="B5" s="1759" t="s">
        <v>543</v>
      </c>
      <c r="C5" s="1759"/>
      <c r="D5" s="1759"/>
      <c r="E5" s="1759"/>
      <c r="F5" s="1759"/>
      <c r="G5" s="1759"/>
      <c r="H5" s="1759"/>
    </row>
    <row r="6" spans="2:17" ht="22.8">
      <c r="B6" s="1759" t="str">
        <f>"TRIAL  BALANCE - "&amp;UPPER('KEY INPUTS'!D57)&amp;"  UTILITY  FUND (cont'd)"</f>
        <v>TRIAL  BALANCE -   UTILITY  FUND (cont'd)</v>
      </c>
      <c r="C6" s="1759"/>
      <c r="D6" s="1759"/>
      <c r="E6" s="1759"/>
      <c r="F6" s="1759"/>
      <c r="G6" s="1759"/>
      <c r="H6" s="1759"/>
    </row>
    <row r="7" spans="2:17" ht="15.6">
      <c r="B7" s="1760" t="str">
        <f>'KEY INPUTS'!D44</f>
        <v>AS  AT  DECEMBER  31, 2019</v>
      </c>
      <c r="C7" s="1761"/>
      <c r="D7" s="1761"/>
      <c r="E7" s="1761"/>
      <c r="F7" s="1761"/>
      <c r="G7" s="1761"/>
      <c r="H7" s="1761"/>
    </row>
    <row r="8" spans="2:17" ht="15.6">
      <c r="B8" s="1766" t="s">
        <v>573</v>
      </c>
      <c r="C8" s="1766"/>
      <c r="D8" s="1766"/>
      <c r="E8" s="1766"/>
      <c r="F8" s="1766"/>
      <c r="G8" s="1766"/>
      <c r="H8" s="1766"/>
    </row>
    <row r="9" spans="2:17">
      <c r="B9" s="1767" t="s">
        <v>79</v>
      </c>
      <c r="C9" s="1767"/>
      <c r="D9" s="1767"/>
      <c r="E9" s="1767"/>
      <c r="F9" s="1767"/>
      <c r="G9" s="1767"/>
      <c r="H9" s="1767"/>
    </row>
    <row r="10" spans="2:17" ht="15" customHeight="1" thickBot="1">
      <c r="B10" s="1768" t="s">
        <v>80</v>
      </c>
      <c r="C10" s="1768"/>
      <c r="D10" s="1768"/>
      <c r="E10" s="1768"/>
      <c r="F10" s="1768"/>
      <c r="G10" s="1768"/>
      <c r="H10" s="1768"/>
    </row>
    <row r="11" spans="2:17" ht="36" customHeight="1" thickTop="1" thickBot="1">
      <c r="B11" s="1762" t="s">
        <v>124</v>
      </c>
      <c r="C11" s="1762"/>
      <c r="D11" s="1762"/>
      <c r="E11" s="1762"/>
      <c r="F11" s="1763"/>
      <c r="G11" s="1115" t="s">
        <v>125</v>
      </c>
      <c r="H11" s="1116" t="s">
        <v>126</v>
      </c>
    </row>
    <row r="12" spans="2:17" ht="21" customHeight="1" thickTop="1">
      <c r="B12" s="690"/>
      <c r="C12" s="690" t="s">
        <v>3546</v>
      </c>
      <c r="D12" s="690"/>
      <c r="E12" s="690"/>
      <c r="F12" s="690"/>
      <c r="G12" s="906">
        <f>'41a-Utility6'!G44</f>
        <v>0</v>
      </c>
      <c r="H12" s="913">
        <f>'41a-Utility6'!H44</f>
        <v>0</v>
      </c>
    </row>
    <row r="13" spans="2:17" ht="21" customHeight="1">
      <c r="C13" s="649"/>
      <c r="D13" s="649"/>
      <c r="E13" s="649"/>
      <c r="F13" s="649"/>
      <c r="G13" s="601"/>
      <c r="H13" s="651"/>
    </row>
    <row r="14" spans="2:17" ht="21" customHeight="1">
      <c r="B14" s="407"/>
      <c r="C14" s="648"/>
      <c r="D14" s="648"/>
      <c r="E14" s="648"/>
      <c r="F14" s="648"/>
      <c r="G14" s="601"/>
      <c r="H14" s="609"/>
      <c r="K14" s="322"/>
      <c r="L14" s="322"/>
      <c r="M14" s="322"/>
      <c r="N14" s="322"/>
      <c r="O14" s="322"/>
      <c r="P14" s="322"/>
      <c r="Q14" s="322"/>
    </row>
    <row r="15" spans="2:17" ht="21" customHeight="1">
      <c r="B15" s="402"/>
      <c r="C15" s="648"/>
      <c r="D15" s="648"/>
      <c r="E15" s="648"/>
      <c r="F15" s="648"/>
      <c r="G15" s="601"/>
      <c r="H15" s="609"/>
      <c r="K15" s="322"/>
      <c r="L15" s="322"/>
      <c r="M15" s="322"/>
      <c r="N15" s="322"/>
      <c r="O15" s="322"/>
      <c r="P15" s="322"/>
      <c r="Q15" s="322"/>
    </row>
    <row r="16" spans="2:17" ht="21" customHeight="1">
      <c r="B16" s="402"/>
      <c r="C16" s="648"/>
      <c r="D16" s="648"/>
      <c r="E16" s="648"/>
      <c r="F16" s="648"/>
      <c r="G16" s="372"/>
      <c r="H16" s="589"/>
      <c r="K16" s="322"/>
      <c r="L16" s="322"/>
      <c r="M16" s="322"/>
      <c r="N16" s="322"/>
      <c r="O16" s="322"/>
      <c r="P16" s="322"/>
      <c r="Q16" s="322"/>
    </row>
    <row r="17" spans="2:17" ht="21" customHeight="1">
      <c r="B17" s="690"/>
      <c r="C17" s="690" t="s">
        <v>3414</v>
      </c>
      <c r="D17" s="690"/>
      <c r="E17" s="690"/>
      <c r="F17" s="690"/>
      <c r="G17" s="906"/>
      <c r="H17" s="913">
        <f>'49-Utility6'!G22</f>
        <v>0</v>
      </c>
      <c r="K17" s="322"/>
      <c r="L17" s="322"/>
      <c r="M17" s="322"/>
      <c r="N17" s="322"/>
      <c r="O17" s="322"/>
      <c r="P17" s="322"/>
      <c r="Q17" s="322"/>
    </row>
    <row r="18" spans="2:17" ht="21" customHeight="1">
      <c r="B18" s="690"/>
      <c r="C18" s="690" t="s">
        <v>3678</v>
      </c>
      <c r="D18" s="690"/>
      <c r="E18" s="690"/>
      <c r="F18" s="690"/>
      <c r="G18" s="906"/>
      <c r="H18" s="913">
        <f>'49a-Utility6'!G11-'49a-Utility6'!G22+'49a.1-Utility6'!G11-'49a.1-Utility6'!G22</f>
        <v>0</v>
      </c>
    </row>
    <row r="19" spans="2:17" ht="21" customHeight="1">
      <c r="B19" s="690"/>
      <c r="C19" s="690" t="s">
        <v>3688</v>
      </c>
      <c r="D19" s="690"/>
      <c r="E19" s="690"/>
      <c r="F19" s="690"/>
      <c r="G19" s="906"/>
      <c r="H19" s="913">
        <f>+'51a-Utility6'!G23</f>
        <v>0</v>
      </c>
      <c r="K19" s="322"/>
      <c r="L19" s="322"/>
      <c r="M19" s="322"/>
      <c r="N19" s="322"/>
      <c r="O19" s="322"/>
      <c r="P19" s="322"/>
      <c r="Q19" s="322"/>
    </row>
    <row r="20" spans="2:17" ht="21" customHeight="1">
      <c r="B20" s="690"/>
      <c r="C20" s="914" t="s">
        <v>3413</v>
      </c>
      <c r="D20" s="690"/>
      <c r="E20" s="690"/>
      <c r="F20" s="690"/>
      <c r="G20" s="906"/>
      <c r="H20" s="913">
        <f>+'50-Utility6'!G18</f>
        <v>0</v>
      </c>
      <c r="K20" s="322"/>
      <c r="L20" s="322"/>
      <c r="M20" s="322"/>
      <c r="N20" s="322"/>
      <c r="O20" s="322"/>
      <c r="P20" s="322"/>
      <c r="Q20" s="322"/>
    </row>
    <row r="21" spans="2:17" ht="21" customHeight="1">
      <c r="B21" s="690"/>
      <c r="C21" s="690" t="s">
        <v>1004</v>
      </c>
      <c r="D21" s="690"/>
      <c r="E21" s="690"/>
      <c r="F21" s="690"/>
      <c r="G21" s="906"/>
      <c r="H21" s="913" t="s">
        <v>3406</v>
      </c>
      <c r="K21" s="322"/>
      <c r="L21" s="322"/>
      <c r="M21" s="322"/>
      <c r="N21" s="322"/>
      <c r="O21" s="322"/>
      <c r="P21" s="322"/>
      <c r="Q21" s="322"/>
    </row>
    <row r="22" spans="2:17" ht="21" customHeight="1">
      <c r="B22" s="690"/>
      <c r="C22" s="690"/>
      <c r="D22" s="690" t="s">
        <v>1001</v>
      </c>
      <c r="E22" s="690"/>
      <c r="F22" s="690"/>
      <c r="G22" s="906"/>
      <c r="H22" s="913">
        <f>+'52-Utility 6'!K27</f>
        <v>0</v>
      </c>
      <c r="J22" s="399"/>
      <c r="K22" s="322"/>
      <c r="L22" s="322"/>
      <c r="M22" s="322"/>
      <c r="N22" s="322"/>
      <c r="O22" s="322"/>
      <c r="P22" s="322"/>
      <c r="Q22" s="322"/>
    </row>
    <row r="23" spans="2:17" ht="21" customHeight="1">
      <c r="B23" s="690"/>
      <c r="C23" s="690"/>
      <c r="D23" s="690" t="s">
        <v>1002</v>
      </c>
      <c r="E23" s="690"/>
      <c r="F23" s="690"/>
      <c r="G23" s="906"/>
      <c r="H23" s="913">
        <f>+'52-Utility 6'!L27</f>
        <v>0</v>
      </c>
      <c r="J23" s="399"/>
      <c r="K23" s="322"/>
      <c r="L23" s="322"/>
      <c r="M23" s="322"/>
      <c r="N23" s="322"/>
      <c r="O23" s="322"/>
      <c r="P23" s="322"/>
      <c r="Q23" s="322"/>
    </row>
    <row r="24" spans="2:17" ht="21" customHeight="1">
      <c r="B24" s="402"/>
      <c r="C24" s="648" t="s">
        <v>3412</v>
      </c>
      <c r="D24" s="648"/>
      <c r="E24" s="648"/>
      <c r="F24" s="648"/>
      <c r="G24" s="372"/>
      <c r="H24" s="568"/>
    </row>
    <row r="25" spans="2:17" ht="21" customHeight="1">
      <c r="B25" s="402"/>
      <c r="C25" s="648" t="s">
        <v>840</v>
      </c>
      <c r="D25" s="648"/>
      <c r="E25" s="648"/>
      <c r="F25" s="648"/>
      <c r="G25" s="372"/>
      <c r="H25" s="568"/>
    </row>
    <row r="26" spans="2:17" ht="21" customHeight="1">
      <c r="B26" s="402"/>
      <c r="C26" s="648" t="str">
        <f>"DUE TO "&amp;UPPER('KEY INPUTS'!D52)&amp;" OPERATING"</f>
        <v>DUE TO  OPERATING</v>
      </c>
      <c r="D26" s="648"/>
      <c r="E26" s="648"/>
      <c r="F26" s="648"/>
      <c r="G26" s="372"/>
      <c r="H26" s="568"/>
    </row>
    <row r="27" spans="2:17" ht="21" customHeight="1">
      <c r="B27" s="402"/>
      <c r="C27" s="648" t="s">
        <v>839</v>
      </c>
      <c r="D27" s="648"/>
      <c r="E27" s="648"/>
      <c r="F27" s="648"/>
      <c r="G27" s="372"/>
      <c r="H27" s="568"/>
    </row>
    <row r="28" spans="2:17" ht="21" customHeight="1">
      <c r="B28" s="402"/>
      <c r="C28" s="648" t="s">
        <v>838</v>
      </c>
      <c r="D28" s="648"/>
      <c r="E28" s="648"/>
      <c r="F28" s="648"/>
      <c r="G28" s="372"/>
      <c r="H28" s="568"/>
    </row>
    <row r="29" spans="2:17" ht="21" customHeight="1">
      <c r="B29" s="402"/>
      <c r="C29" s="648" t="s">
        <v>370</v>
      </c>
      <c r="D29" s="648"/>
      <c r="E29" s="648"/>
      <c r="F29" s="648"/>
      <c r="G29" s="372"/>
      <c r="H29" s="568"/>
    </row>
    <row r="30" spans="2:17" ht="21" customHeight="1">
      <c r="B30" s="402"/>
      <c r="C30" s="648"/>
      <c r="D30" s="648"/>
      <c r="E30" s="648"/>
      <c r="F30" s="648"/>
      <c r="G30" s="372"/>
      <c r="H30" s="589" t="s">
        <v>3406</v>
      </c>
    </row>
    <row r="31" spans="2:17" ht="21" customHeight="1">
      <c r="B31" s="402"/>
      <c r="C31" s="648"/>
      <c r="D31" s="648"/>
      <c r="E31" s="648"/>
      <c r="F31" s="648"/>
      <c r="G31" s="372"/>
      <c r="H31" s="589" t="s">
        <v>3406</v>
      </c>
    </row>
    <row r="32" spans="2:17" ht="21" customHeight="1">
      <c r="B32" s="402"/>
      <c r="C32" s="648"/>
      <c r="D32" s="648"/>
      <c r="E32" s="648"/>
      <c r="F32" s="648"/>
      <c r="G32" s="372"/>
      <c r="H32" s="651"/>
    </row>
    <row r="33" spans="2:13" ht="21" customHeight="1">
      <c r="B33" s="402"/>
      <c r="C33" s="648"/>
      <c r="D33" s="648"/>
      <c r="E33" s="648"/>
      <c r="F33" s="648"/>
      <c r="G33" s="372"/>
      <c r="H33" s="589" t="s">
        <v>3406</v>
      </c>
    </row>
    <row r="34" spans="2:13" ht="21" customHeight="1">
      <c r="B34" s="402"/>
      <c r="C34" s="648"/>
      <c r="D34" s="648"/>
      <c r="E34" s="648"/>
      <c r="F34" s="648"/>
      <c r="G34" s="372"/>
      <c r="H34" s="589"/>
    </row>
    <row r="35" spans="2:13" ht="21" customHeight="1">
      <c r="B35" s="402"/>
      <c r="C35" s="648"/>
      <c r="D35" s="648"/>
      <c r="E35" s="648"/>
      <c r="F35" s="648"/>
      <c r="G35" s="372"/>
      <c r="H35" s="589"/>
    </row>
    <row r="36" spans="2:13" ht="21" customHeight="1">
      <c r="B36" s="402"/>
      <c r="C36" s="648"/>
      <c r="D36" s="648"/>
      <c r="E36" s="648"/>
      <c r="F36" s="648"/>
      <c r="G36" s="372"/>
      <c r="H36" s="589" t="s">
        <v>3406</v>
      </c>
    </row>
    <row r="37" spans="2:13" ht="21" customHeight="1">
      <c r="B37" s="402"/>
      <c r="C37" s="648"/>
      <c r="D37" s="648"/>
      <c r="E37" s="648"/>
      <c r="F37" s="648"/>
      <c r="G37" s="372"/>
      <c r="H37" s="651"/>
    </row>
    <row r="38" spans="2:13" ht="21" customHeight="1">
      <c r="B38" s="402"/>
      <c r="C38" s="648"/>
      <c r="D38" s="648"/>
      <c r="E38" s="648"/>
      <c r="F38" s="648"/>
      <c r="G38" s="372"/>
      <c r="H38" s="589" t="s">
        <v>3406</v>
      </c>
    </row>
    <row r="39" spans="2:13" ht="21" customHeight="1">
      <c r="B39" s="402"/>
      <c r="C39" s="648"/>
      <c r="D39" s="648"/>
      <c r="E39" s="648"/>
      <c r="F39" s="648"/>
      <c r="G39" s="372"/>
      <c r="H39" s="589"/>
    </row>
    <row r="40" spans="2:13" ht="21" customHeight="1">
      <c r="B40" s="690"/>
      <c r="C40" s="690" t="s">
        <v>3480</v>
      </c>
      <c r="D40" s="690"/>
      <c r="E40" s="690"/>
      <c r="F40" s="690"/>
      <c r="G40" s="906"/>
      <c r="H40" s="913">
        <f>+'53-Utility6'!I41</f>
        <v>0</v>
      </c>
    </row>
    <row r="41" spans="2:13" ht="21" customHeight="1">
      <c r="B41" s="690"/>
      <c r="C41" s="690" t="s">
        <v>1005</v>
      </c>
      <c r="D41" s="690"/>
      <c r="E41" s="690"/>
      <c r="F41" s="690"/>
      <c r="G41" s="906"/>
      <c r="H41" s="913">
        <f>+'53-Utility6'!I24</f>
        <v>0</v>
      </c>
    </row>
    <row r="42" spans="2:13" ht="21" customHeight="1">
      <c r="B42" s="690"/>
      <c r="C42" s="690" t="s">
        <v>807</v>
      </c>
      <c r="D42" s="690"/>
      <c r="E42" s="690"/>
      <c r="F42" s="690"/>
      <c r="G42" s="906"/>
      <c r="H42" s="913">
        <f>+'54-Utility6'!I42</f>
        <v>0</v>
      </c>
    </row>
    <row r="43" spans="2:13" ht="21" customHeight="1" thickBot="1">
      <c r="B43" s="690"/>
      <c r="C43" s="690"/>
      <c r="D43" s="690"/>
      <c r="E43" s="690"/>
      <c r="F43" s="690"/>
      <c r="G43" s="1294"/>
      <c r="H43" s="1295"/>
      <c r="I43" s="399"/>
      <c r="M43" s="399"/>
    </row>
    <row r="44" spans="2:13" ht="21" customHeight="1" thickBot="1">
      <c r="B44" s="690"/>
      <c r="C44" s="690" t="s">
        <v>1000</v>
      </c>
      <c r="D44" s="690"/>
      <c r="E44" s="690"/>
      <c r="F44" s="690"/>
      <c r="G44" s="1296">
        <f>SUM(G12:G42)</f>
        <v>0</v>
      </c>
      <c r="H44" s="1297">
        <f>SUM(H12:H43)</f>
        <v>0</v>
      </c>
      <c r="I44" s="399"/>
      <c r="K44" s="399"/>
    </row>
    <row r="45" spans="2:13" ht="13.8" thickTop="1">
      <c r="B45" s="1917" t="s">
        <v>127</v>
      </c>
      <c r="C45" s="1917"/>
      <c r="D45" s="1917"/>
      <c r="E45" s="1917"/>
      <c r="F45" s="1917"/>
      <c r="G45" s="1918"/>
      <c r="H45" s="1918"/>
    </row>
    <row r="46" spans="2:13">
      <c r="B46" s="1299"/>
      <c r="C46" s="1299"/>
      <c r="D46" s="1299"/>
      <c r="E46" s="1299"/>
      <c r="F46" s="1299"/>
      <c r="G46" s="1299"/>
      <c r="H46" s="1299"/>
    </row>
    <row r="47" spans="2:13">
      <c r="B47" s="1299"/>
      <c r="C47" s="1299"/>
      <c r="D47" s="1299"/>
      <c r="E47" s="1299"/>
      <c r="F47" s="1299"/>
      <c r="G47" s="1299"/>
      <c r="H47" s="1299"/>
    </row>
    <row r="48" spans="2:13">
      <c r="B48" s="1299"/>
      <c r="C48" s="1299"/>
      <c r="D48" s="1299"/>
      <c r="E48" s="1299"/>
      <c r="F48" s="1299"/>
      <c r="G48" s="1299"/>
      <c r="H48" s="1299"/>
    </row>
    <row r="49" spans="2:8">
      <c r="B49" s="1299"/>
      <c r="C49" s="1299"/>
      <c r="D49" s="1299"/>
      <c r="E49" s="1299"/>
      <c r="F49" s="1299"/>
      <c r="G49" s="1299"/>
      <c r="H49" s="1299"/>
    </row>
    <row r="50" spans="2:8" ht="13.8">
      <c r="B50" s="1950" t="s">
        <v>3690</v>
      </c>
      <c r="C50" s="1950"/>
      <c r="D50" s="1950"/>
      <c r="E50" s="1950"/>
      <c r="F50" s="1950"/>
      <c r="G50" s="1950"/>
      <c r="H50" s="1950"/>
    </row>
    <row r="55" spans="2:8">
      <c r="H55" s="399"/>
    </row>
  </sheetData>
  <sheetProtection algorithmName="SHA-512" hashValue="Dpahu5GNU+vk56ojD0KbZcUwdWW1vZyScVUQ+t5hsDvFCeAvf9knp9sxpvhG0Ef4Pvt85u90fStl/wCbVaOz1A==" saltValue="semrPHg96zoYaQULotdacQ==" spinCount="100000" sheet="1" objects="1" scenarios="1"/>
  <customSheetViews>
    <customSheetView guid="{AC653BD0-46E3-42CB-9C76-32121A57B65A}">
      <selection activeCell="H22" sqref="H22"/>
      <pageMargins left="0.25" right="0.25" top="0.5" bottom="0.5" header="0.25" footer="0.25"/>
      <pageSetup paperSize="5" orientation="portrait" r:id="rId1"/>
      <headerFooter alignWithMargins="0"/>
    </customSheetView>
    <customSheetView guid="{B165479B-DC25-403C-9595-F1A88A4AA9A2}">
      <selection activeCell="H22" sqref="H22"/>
      <pageMargins left="0.25" right="0.25" top="0.5" bottom="0.5" header="0.25" footer="0.25"/>
      <pageSetup paperSize="5" orientation="portrait" r:id="rId2"/>
      <headerFooter alignWithMargins="0"/>
    </customSheetView>
    <customSheetView guid="{A64E4C9E-A3DA-4AAA-8607-F524450B9436}">
      <selection activeCell="H22" sqref="H22"/>
      <pageMargins left="0.25" right="0.25" top="0.5" bottom="0.5" header="0.25" footer="0.25"/>
      <pageSetup paperSize="5" orientation="portrait" r:id="rId3"/>
      <headerFooter alignWithMargins="0"/>
    </customSheetView>
    <customSheetView guid="{AB4FBD91-4533-473A-9702-569FF6402073}">
      <selection activeCell="H22" sqref="H22"/>
      <pageMargins left="0.25" right="0.25" top="0.5" bottom="0.5" header="0.25" footer="0.25"/>
      <pageSetup paperSize="5" orientation="portrait" r:id="rId4"/>
      <headerFooter alignWithMargins="0"/>
    </customSheetView>
  </customSheetViews>
  <mergeCells count="11">
    <mergeCell ref="B9:H9"/>
    <mergeCell ref="B10:H10"/>
    <mergeCell ref="B11:F11"/>
    <mergeCell ref="B45:H45"/>
    <mergeCell ref="B50:H50"/>
    <mergeCell ref="B8:H8"/>
    <mergeCell ref="B2:H2"/>
    <mergeCell ref="B3:H3"/>
    <mergeCell ref="B5:H5"/>
    <mergeCell ref="B6:H6"/>
    <mergeCell ref="B7:H7"/>
  </mergeCells>
  <pageMargins left="0.25" right="0.25" top="0.5" bottom="0.5" header="0.25" footer="0.25"/>
  <pageSetup paperSize="5" orientation="portrait" r:id="rId5"/>
  <headerFooter alignWithMargins="0"/>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Sheet273">
    <tabColor theme="3" tint="0.79998168889431442"/>
  </sheetPr>
  <dimension ref="B1:R49"/>
  <sheetViews>
    <sheetView topLeftCell="A16" zoomScaleNormal="100" zoomScaleSheetLayoutView="80" workbookViewId="0">
      <selection activeCell="H27" sqref="H27"/>
    </sheetView>
  </sheetViews>
  <sheetFormatPr defaultColWidth="9.109375" defaultRowHeight="13.2"/>
  <cols>
    <col min="1" max="1" width="4.6640625" style="331" customWidth="1"/>
    <col min="2" max="2" width="4.88671875" style="331" customWidth="1"/>
    <col min="3" max="4" width="4.6640625" style="331" customWidth="1"/>
    <col min="5" max="5" width="30.6640625" style="331" customWidth="1"/>
    <col min="6" max="6" width="15.6640625" style="331" customWidth="1"/>
    <col min="7" max="8" width="16.6640625" style="331" customWidth="1"/>
    <col min="9" max="16384" width="9.109375" style="331"/>
  </cols>
  <sheetData>
    <row r="1" spans="2:18">
      <c r="B1" s="1146"/>
      <c r="C1" s="1146"/>
      <c r="D1" s="1146"/>
      <c r="E1" s="1146"/>
      <c r="F1" s="1146"/>
      <c r="G1" s="1146"/>
      <c r="H1" s="1146"/>
    </row>
    <row r="2" spans="2:18">
      <c r="B2" s="1146"/>
      <c r="C2" s="1146"/>
      <c r="D2" s="1146"/>
      <c r="E2" s="1146"/>
      <c r="F2" s="1146"/>
      <c r="G2" s="1146"/>
      <c r="H2" s="1146"/>
    </row>
    <row r="3" spans="2:18" ht="22.8">
      <c r="B3" s="1782" t="s">
        <v>1043</v>
      </c>
      <c r="C3" s="1782"/>
      <c r="D3" s="1782"/>
      <c r="E3" s="1782"/>
      <c r="F3" s="1782"/>
      <c r="G3" s="1782"/>
      <c r="H3" s="1782"/>
    </row>
    <row r="4" spans="2:18" ht="22.8">
      <c r="B4" s="1782" t="s">
        <v>1044</v>
      </c>
      <c r="C4" s="1782"/>
      <c r="D4" s="1782"/>
      <c r="E4" s="1782"/>
      <c r="F4" s="1782"/>
      <c r="G4" s="1782"/>
      <c r="H4" s="1782"/>
    </row>
    <row r="5" spans="2:18" ht="15.6">
      <c r="B5" s="1783"/>
      <c r="C5" s="1783"/>
      <c r="D5" s="1783"/>
      <c r="E5" s="1783"/>
      <c r="F5" s="1783"/>
      <c r="G5" s="1783"/>
      <c r="H5" s="1783"/>
    </row>
    <row r="6" spans="2:18" ht="13.8">
      <c r="B6" s="1781" t="s">
        <v>1045</v>
      </c>
      <c r="C6" s="1781"/>
      <c r="D6" s="1781"/>
      <c r="E6" s="1781"/>
      <c r="F6" s="1781"/>
      <c r="G6" s="1781"/>
      <c r="H6" s="1781"/>
    </row>
    <row r="7" spans="2:18" ht="13.8">
      <c r="B7" s="1781" t="s">
        <v>1053</v>
      </c>
      <c r="C7" s="1781"/>
      <c r="D7" s="1781"/>
      <c r="E7" s="1781"/>
      <c r="F7" s="1781"/>
      <c r="G7" s="1781"/>
      <c r="H7" s="1781"/>
    </row>
    <row r="8" spans="2:18" ht="13.8">
      <c r="B8" s="1133"/>
      <c r="C8" s="1133"/>
      <c r="D8" s="1133"/>
      <c r="E8" s="1133"/>
      <c r="F8" s="1133"/>
      <c r="G8" s="1133"/>
      <c r="H8" s="1133"/>
    </row>
    <row r="9" spans="2:18" ht="15" customHeight="1" thickBot="1">
      <c r="B9" s="1784" t="str">
        <f>'KEY INPUTS'!D44</f>
        <v>AS  AT  DECEMBER  31, 2019</v>
      </c>
      <c r="C9" s="1783"/>
      <c r="D9" s="1783"/>
      <c r="E9" s="1783"/>
      <c r="F9" s="1783"/>
      <c r="G9" s="1783"/>
      <c r="H9" s="1783"/>
    </row>
    <row r="10" spans="2:18" ht="36" customHeight="1" thickTop="1" thickBot="1">
      <c r="B10" s="1785" t="s">
        <v>124</v>
      </c>
      <c r="C10" s="1785"/>
      <c r="D10" s="1785"/>
      <c r="E10" s="1785"/>
      <c r="F10" s="1786"/>
      <c r="G10" s="1134" t="s">
        <v>125</v>
      </c>
      <c r="H10" s="1135" t="s">
        <v>126</v>
      </c>
    </row>
    <row r="11" spans="2:18" ht="21" customHeight="1" thickTop="1">
      <c r="B11" s="1136" t="s">
        <v>459</v>
      </c>
      <c r="C11" s="1136"/>
      <c r="D11" s="1136"/>
      <c r="E11" s="1136"/>
      <c r="F11" s="1136"/>
      <c r="G11" s="650"/>
      <c r="H11" s="651"/>
      <c r="L11" s="322"/>
      <c r="M11" s="322"/>
      <c r="N11" s="322"/>
      <c r="O11" s="322"/>
      <c r="P11" s="322"/>
      <c r="Q11" s="322"/>
      <c r="R11" s="322"/>
    </row>
    <row r="12" spans="2:18" ht="21" customHeight="1">
      <c r="B12" s="648"/>
      <c r="C12" s="648"/>
      <c r="D12" s="648"/>
      <c r="E12" s="648"/>
      <c r="F12" s="648"/>
      <c r="G12" s="601"/>
      <c r="H12" s="609"/>
      <c r="L12" s="322"/>
      <c r="M12" s="322"/>
      <c r="N12" s="322"/>
      <c r="O12" s="322"/>
      <c r="P12" s="322"/>
      <c r="Q12" s="322"/>
      <c r="R12" s="322"/>
    </row>
    <row r="13" spans="2:18" ht="21" customHeight="1">
      <c r="B13" s="648"/>
      <c r="C13" s="648"/>
      <c r="D13" s="648"/>
      <c r="E13" s="648"/>
      <c r="F13" s="648"/>
      <c r="G13" s="601"/>
      <c r="H13" s="609"/>
      <c r="L13" s="377"/>
      <c r="M13" s="322"/>
      <c r="N13" s="322"/>
      <c r="O13" s="322"/>
      <c r="P13" s="322"/>
      <c r="Q13" s="322"/>
      <c r="R13" s="322"/>
    </row>
    <row r="14" spans="2:18" ht="21" customHeight="1">
      <c r="B14" s="648"/>
      <c r="C14" s="648"/>
      <c r="D14" s="648"/>
      <c r="E14" s="648"/>
      <c r="F14" s="648"/>
      <c r="G14" s="601"/>
      <c r="H14" s="609"/>
      <c r="L14" s="322"/>
      <c r="M14" s="322"/>
      <c r="N14" s="322"/>
      <c r="O14" s="322"/>
      <c r="P14" s="322"/>
      <c r="Q14" s="322"/>
      <c r="R14" s="322"/>
    </row>
    <row r="15" spans="2:18" ht="21" customHeight="1">
      <c r="B15" s="648"/>
      <c r="C15" s="648"/>
      <c r="D15" s="648"/>
      <c r="E15" s="648"/>
      <c r="F15" s="648"/>
      <c r="G15" s="601"/>
      <c r="H15" s="609"/>
      <c r="L15" s="322"/>
      <c r="M15" s="322"/>
      <c r="N15" s="322"/>
      <c r="O15" s="322"/>
      <c r="P15" s="322"/>
      <c r="Q15" s="322"/>
      <c r="R15" s="322"/>
    </row>
    <row r="16" spans="2:18" ht="21" customHeight="1">
      <c r="B16" s="648"/>
      <c r="C16" s="648"/>
      <c r="D16" s="648"/>
      <c r="E16" s="648"/>
      <c r="F16" s="648"/>
      <c r="G16" s="601"/>
      <c r="H16" s="609"/>
      <c r="L16" s="322"/>
      <c r="M16" s="322"/>
      <c r="N16" s="322"/>
      <c r="O16" s="322"/>
      <c r="P16" s="322"/>
      <c r="Q16" s="322"/>
      <c r="R16" s="322"/>
    </row>
    <row r="17" spans="2:18" ht="21" customHeight="1">
      <c r="B17" s="648"/>
      <c r="C17" s="648"/>
      <c r="D17" s="648"/>
      <c r="E17" s="648"/>
      <c r="F17" s="648"/>
      <c r="G17" s="601"/>
      <c r="H17" s="609"/>
      <c r="L17" s="322"/>
      <c r="M17" s="322"/>
      <c r="N17" s="322"/>
      <c r="O17" s="322"/>
      <c r="P17" s="322"/>
      <c r="Q17" s="322"/>
      <c r="R17" s="322"/>
    </row>
    <row r="18" spans="2:18" ht="21" customHeight="1">
      <c r="B18" s="648"/>
      <c r="C18" s="648"/>
      <c r="D18" s="648"/>
      <c r="E18" s="648"/>
      <c r="F18" s="648"/>
      <c r="G18" s="601"/>
      <c r="H18" s="609"/>
      <c r="L18" s="322"/>
      <c r="M18" s="322"/>
      <c r="N18" s="322"/>
      <c r="O18" s="322"/>
      <c r="P18" s="322"/>
      <c r="Q18" s="322"/>
      <c r="R18" s="322"/>
    </row>
    <row r="19" spans="2:18" ht="21" customHeight="1">
      <c r="B19" s="648"/>
      <c r="C19" s="648"/>
      <c r="D19" s="648"/>
      <c r="E19" s="648"/>
      <c r="F19" s="648"/>
      <c r="G19" s="601"/>
      <c r="H19" s="609"/>
      <c r="L19" s="322"/>
      <c r="M19" s="322"/>
      <c r="N19" s="322"/>
      <c r="O19" s="322"/>
      <c r="P19" s="322"/>
      <c r="Q19" s="322"/>
      <c r="R19" s="322"/>
    </row>
    <row r="20" spans="2:18" ht="21" customHeight="1">
      <c r="B20" s="648"/>
      <c r="C20" s="648"/>
      <c r="D20" s="648"/>
      <c r="E20" s="648"/>
      <c r="F20" s="648"/>
      <c r="G20" s="601"/>
      <c r="H20" s="609"/>
      <c r="L20" s="322"/>
      <c r="M20" s="322"/>
      <c r="N20" s="322"/>
      <c r="O20" s="322"/>
      <c r="P20" s="322"/>
      <c r="Q20" s="322"/>
      <c r="R20" s="322"/>
    </row>
    <row r="21" spans="2:18" ht="21" customHeight="1">
      <c r="B21" s="648"/>
      <c r="C21" s="648"/>
      <c r="D21" s="648"/>
      <c r="E21" s="648"/>
      <c r="F21" s="648"/>
      <c r="G21" s="601"/>
      <c r="H21" s="609"/>
      <c r="L21" s="322"/>
      <c r="M21" s="322"/>
      <c r="N21" s="322"/>
      <c r="O21" s="322"/>
      <c r="P21" s="322"/>
      <c r="Q21" s="322"/>
      <c r="R21" s="322"/>
    </row>
    <row r="22" spans="2:18" ht="21" customHeight="1">
      <c r="B22" s="648"/>
      <c r="C22" s="648"/>
      <c r="D22" s="648"/>
      <c r="E22" s="648"/>
      <c r="F22" s="648"/>
      <c r="G22" s="601"/>
      <c r="H22" s="609"/>
      <c r="L22" s="322"/>
      <c r="M22" s="322"/>
      <c r="N22" s="322"/>
      <c r="O22" s="322"/>
      <c r="P22" s="322"/>
      <c r="Q22" s="322"/>
      <c r="R22" s="322"/>
    </row>
    <row r="23" spans="2:18" ht="21" customHeight="1">
      <c r="B23" s="648"/>
      <c r="C23" s="648"/>
      <c r="D23" s="648"/>
      <c r="E23" s="648"/>
      <c r="F23" s="648"/>
      <c r="G23" s="601"/>
      <c r="H23" s="609"/>
      <c r="L23" s="322"/>
      <c r="M23" s="322"/>
      <c r="N23" s="322"/>
      <c r="O23" s="322"/>
      <c r="P23" s="322"/>
      <c r="Q23" s="322"/>
      <c r="R23" s="322"/>
    </row>
    <row r="24" spans="2:18" ht="21" customHeight="1">
      <c r="B24" s="648"/>
      <c r="C24" s="648"/>
      <c r="D24" s="648"/>
      <c r="E24" s="648"/>
      <c r="F24" s="648"/>
      <c r="G24" s="601"/>
      <c r="H24" s="609"/>
      <c r="L24" s="322"/>
      <c r="M24" s="322"/>
      <c r="N24" s="322"/>
      <c r="O24" s="322"/>
      <c r="P24" s="322"/>
      <c r="Q24" s="322"/>
      <c r="R24" s="322"/>
    </row>
    <row r="25" spans="2:18" ht="21" customHeight="1">
      <c r="B25" s="648"/>
      <c r="C25" s="648"/>
      <c r="D25" s="648"/>
      <c r="E25" s="648"/>
      <c r="F25" s="648"/>
      <c r="G25" s="601"/>
      <c r="H25" s="609"/>
      <c r="L25" s="322"/>
      <c r="M25" s="322"/>
      <c r="N25" s="322"/>
      <c r="O25" s="322"/>
      <c r="P25" s="322"/>
      <c r="Q25" s="322"/>
      <c r="R25" s="322"/>
    </row>
    <row r="26" spans="2:18" ht="21" customHeight="1">
      <c r="B26" s="648"/>
      <c r="C26" s="648"/>
      <c r="D26" s="648"/>
      <c r="E26" s="648"/>
      <c r="F26" s="648"/>
      <c r="G26" s="601"/>
      <c r="H26" s="609"/>
      <c r="L26" s="322"/>
      <c r="M26" s="322"/>
      <c r="N26" s="322"/>
      <c r="O26" s="322"/>
      <c r="P26" s="322"/>
      <c r="Q26" s="322"/>
      <c r="R26" s="322"/>
    </row>
    <row r="27" spans="2:18" ht="21" customHeight="1">
      <c r="B27" s="648"/>
      <c r="C27" s="648"/>
      <c r="D27" s="648"/>
      <c r="E27" s="648"/>
      <c r="F27" s="648"/>
      <c r="G27" s="601"/>
      <c r="H27" s="609"/>
      <c r="L27" s="322"/>
      <c r="M27" s="322"/>
      <c r="N27" s="322"/>
      <c r="O27" s="322"/>
      <c r="P27" s="322"/>
      <c r="Q27" s="322"/>
      <c r="R27" s="322"/>
    </row>
    <row r="28" spans="2:18" ht="21" customHeight="1">
      <c r="B28" s="648"/>
      <c r="C28" s="648"/>
      <c r="D28" s="648"/>
      <c r="E28" s="648"/>
      <c r="F28" s="648"/>
      <c r="G28" s="601"/>
      <c r="H28" s="609"/>
    </row>
    <row r="29" spans="2:18" ht="21" customHeight="1">
      <c r="B29" s="648"/>
      <c r="C29" s="648"/>
      <c r="D29" s="648"/>
      <c r="E29" s="648"/>
      <c r="F29" s="648"/>
      <c r="G29" s="601"/>
      <c r="H29" s="609"/>
    </row>
    <row r="30" spans="2:18" ht="21" customHeight="1">
      <c r="B30" s="648"/>
      <c r="C30" s="648"/>
      <c r="D30" s="648"/>
      <c r="E30" s="648"/>
      <c r="F30" s="648"/>
      <c r="G30" s="601"/>
      <c r="H30" s="609"/>
    </row>
    <row r="31" spans="2:18" ht="21" customHeight="1">
      <c r="B31" s="648"/>
      <c r="C31" s="648"/>
      <c r="D31" s="648"/>
      <c r="E31" s="648"/>
      <c r="F31" s="648"/>
      <c r="G31" s="601"/>
      <c r="H31" s="609"/>
    </row>
    <row r="32" spans="2:18" ht="21" customHeight="1">
      <c r="B32" s="648"/>
      <c r="C32" s="648"/>
      <c r="D32" s="648"/>
      <c r="E32" s="648"/>
      <c r="F32" s="648"/>
      <c r="G32" s="601"/>
      <c r="H32" s="609"/>
    </row>
    <row r="33" spans="2:8" ht="21" customHeight="1">
      <c r="B33" s="648"/>
      <c r="C33" s="648"/>
      <c r="D33" s="648"/>
      <c r="E33" s="648"/>
      <c r="F33" s="648"/>
      <c r="G33" s="601"/>
      <c r="H33" s="609"/>
    </row>
    <row r="34" spans="2:8" ht="21" customHeight="1">
      <c r="B34" s="648"/>
      <c r="C34" s="648"/>
      <c r="D34" s="648"/>
      <c r="E34" s="648"/>
      <c r="F34" s="648"/>
      <c r="G34" s="601"/>
      <c r="H34" s="609"/>
    </row>
    <row r="35" spans="2:8" ht="21" customHeight="1">
      <c r="B35" s="648"/>
      <c r="C35" s="648"/>
      <c r="D35" s="648"/>
      <c r="E35" s="648"/>
      <c r="F35" s="648"/>
      <c r="G35" s="601"/>
      <c r="H35" s="609"/>
    </row>
    <row r="36" spans="2:8" ht="21" customHeight="1">
      <c r="B36" s="648"/>
      <c r="C36" s="648"/>
      <c r="D36" s="648"/>
      <c r="E36" s="648"/>
      <c r="F36" s="648"/>
      <c r="G36" s="601"/>
      <c r="H36" s="609"/>
    </row>
    <row r="37" spans="2:8" ht="21" customHeight="1">
      <c r="B37" s="648"/>
      <c r="C37" s="648"/>
      <c r="D37" s="648"/>
      <c r="E37" s="648"/>
      <c r="F37" s="648"/>
      <c r="G37" s="601"/>
      <c r="H37" s="609"/>
    </row>
    <row r="38" spans="2:8" ht="21" customHeight="1">
      <c r="B38" s="1137" t="s">
        <v>3481</v>
      </c>
      <c r="C38" s="1137"/>
      <c r="D38" s="1137"/>
      <c r="E38" s="1137"/>
      <c r="F38" s="1137"/>
      <c r="G38" s="1138"/>
      <c r="H38" s="1126">
        <f>'51-Utility6'!G23</f>
        <v>0</v>
      </c>
    </row>
    <row r="39" spans="2:8" ht="21" customHeight="1">
      <c r="B39" s="1137" t="s">
        <v>3482</v>
      </c>
      <c r="C39" s="1137"/>
      <c r="D39" s="1137"/>
      <c r="E39" s="1137"/>
      <c r="F39" s="1137"/>
      <c r="G39" s="1138"/>
      <c r="H39" s="1126">
        <f>'49-Utility6'!G11</f>
        <v>0</v>
      </c>
    </row>
    <row r="40" spans="2:8" ht="21" customHeight="1">
      <c r="B40" s="1137" t="s">
        <v>999</v>
      </c>
      <c r="C40" s="1137"/>
      <c r="D40" s="1137"/>
      <c r="E40" s="1137"/>
      <c r="F40" s="1137"/>
      <c r="G40" s="1138"/>
      <c r="H40" s="1126">
        <f>'43-Utility6'!L20</f>
        <v>0</v>
      </c>
    </row>
    <row r="41" spans="2:8" ht="21" customHeight="1">
      <c r="B41" s="648"/>
      <c r="C41" s="648"/>
      <c r="D41" s="648"/>
      <c r="E41" s="648"/>
      <c r="F41" s="648"/>
      <c r="G41" s="601"/>
      <c r="H41" s="609"/>
    </row>
    <row r="42" spans="2:8" ht="21" customHeight="1">
      <c r="B42" s="648"/>
      <c r="C42" s="648"/>
      <c r="D42" s="648"/>
      <c r="E42" s="648"/>
      <c r="F42" s="648"/>
      <c r="G42" s="601"/>
      <c r="H42" s="609"/>
    </row>
    <row r="43" spans="2:8" ht="21" customHeight="1">
      <c r="B43" s="1139" t="s">
        <v>1000</v>
      </c>
      <c r="C43" s="1139"/>
      <c r="D43" s="1139"/>
      <c r="E43" s="1139"/>
      <c r="F43" s="1139"/>
      <c r="G43" s="1105">
        <f>SUM(G11:G42)</f>
        <v>0</v>
      </c>
      <c r="H43" s="1140">
        <f>SUM(H11:H42)</f>
        <v>0</v>
      </c>
    </row>
    <row r="44" spans="2:8">
      <c r="B44" s="1787" t="s">
        <v>127</v>
      </c>
      <c r="C44" s="1787"/>
      <c r="D44" s="1787"/>
      <c r="E44" s="1787"/>
      <c r="F44" s="1787"/>
      <c r="G44" s="1787"/>
      <c r="H44" s="1787"/>
    </row>
    <row r="45" spans="2:8">
      <c r="B45" s="1141"/>
      <c r="C45" s="1141"/>
      <c r="D45" s="1141"/>
      <c r="E45" s="1141"/>
      <c r="F45" s="1141"/>
      <c r="G45" s="1141"/>
      <c r="H45" s="1141"/>
    </row>
    <row r="46" spans="2:8">
      <c r="B46" s="1141"/>
      <c r="C46" s="1141"/>
      <c r="D46" s="1141"/>
      <c r="E46" s="1141"/>
      <c r="F46" s="1141"/>
      <c r="G46" s="1141"/>
      <c r="H46" s="1141"/>
    </row>
    <row r="47" spans="2:8">
      <c r="B47" s="1141"/>
      <c r="C47" s="1141"/>
      <c r="D47" s="1141"/>
      <c r="E47" s="1141"/>
      <c r="F47" s="1141"/>
      <c r="G47" s="1141"/>
      <c r="H47" s="1141"/>
    </row>
    <row r="48" spans="2:8">
      <c r="B48" s="1141"/>
      <c r="C48" s="1141"/>
      <c r="D48" s="1141"/>
      <c r="E48" s="1141"/>
      <c r="F48" s="1141"/>
      <c r="G48" s="1141"/>
      <c r="H48" s="1141"/>
    </row>
    <row r="49" spans="2:8" ht="13.8">
      <c r="B49" s="1780" t="s">
        <v>3415</v>
      </c>
      <c r="C49" s="1780"/>
      <c r="D49" s="1780"/>
      <c r="E49" s="1780"/>
      <c r="F49" s="1780"/>
      <c r="G49" s="1780"/>
      <c r="H49" s="1780"/>
    </row>
  </sheetData>
  <sheetProtection algorithmName="SHA-512" hashValue="t1TX9VKR8ID5IwFRFfmbr+GlaLhw0wiyEbrqA4PEy6o/kCH44DRqOFhgfWAN/Lsm65aA8vsXlLUC6Fm8mfc2hQ==" saltValue="MDGoxYbY4wp1fCNLm6wApQ==" spinCount="100000" sheet="1" objects="1" scenarios="1"/>
  <customSheetViews>
    <customSheetView guid="{AC653BD0-46E3-42CB-9C76-32121A57B65A}" topLeftCell="A16">
      <selection activeCell="H27" sqref="H27"/>
      <pageMargins left="0.25" right="0.25" top="0.5" bottom="0.5" header="0.25" footer="0.25"/>
      <pageSetup paperSize="5" orientation="portrait" r:id="rId1"/>
      <headerFooter alignWithMargins="0"/>
    </customSheetView>
    <customSheetView guid="{B165479B-DC25-403C-9595-F1A88A4AA9A2}" topLeftCell="A16">
      <selection activeCell="H27" sqref="H27"/>
      <pageMargins left="0.25" right="0.25" top="0.5" bottom="0.5" header="0.25" footer="0.25"/>
      <pageSetup paperSize="5" orientation="portrait" r:id="rId2"/>
      <headerFooter alignWithMargins="0"/>
    </customSheetView>
    <customSheetView guid="{A64E4C9E-A3DA-4AAA-8607-F524450B9436}" topLeftCell="A16">
      <selection activeCell="H27" sqref="H27"/>
      <pageMargins left="0.25" right="0.25" top="0.5" bottom="0.5" header="0.25" footer="0.25"/>
      <pageSetup paperSize="5" orientation="portrait" r:id="rId3"/>
      <headerFooter alignWithMargins="0"/>
    </customSheetView>
    <customSheetView guid="{AB4FBD91-4533-473A-9702-569FF6402073}" topLeftCell="A16">
      <selection activeCell="H27" sqref="H27"/>
      <pageMargins left="0.25" right="0.25" top="0.5" bottom="0.5" header="0.25" footer="0.25"/>
      <pageSetup paperSize="5" orientation="portrait" r:id="rId4"/>
      <headerFooter alignWithMargins="0"/>
    </customSheetView>
  </customSheetViews>
  <mergeCells count="9">
    <mergeCell ref="B10:F10"/>
    <mergeCell ref="B44:H44"/>
    <mergeCell ref="B49:H49"/>
    <mergeCell ref="B3:H3"/>
    <mergeCell ref="B4:H4"/>
    <mergeCell ref="B5:H5"/>
    <mergeCell ref="B6:H6"/>
    <mergeCell ref="B7:H7"/>
    <mergeCell ref="B9:H9"/>
  </mergeCells>
  <pageMargins left="0.25" right="0.25" top="0.5" bottom="0.5" header="0.25" footer="0.25"/>
  <pageSetup paperSize="5" orientation="portrait" r:id="rId5"/>
  <headerFooter alignWithMargins="0"/>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Sheet274">
    <tabColor theme="3" tint="0.79998168889431442"/>
  </sheetPr>
  <dimension ref="A2:V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0.6640625" style="331" customWidth="1"/>
    <col min="5" max="12" width="15.6640625" style="331" customWidth="1"/>
    <col min="13" max="16384" width="9.109375" style="331"/>
  </cols>
  <sheetData>
    <row r="2" spans="1:22" ht="20.399999999999999">
      <c r="B2" s="1788" t="str">
        <f>"ANALYSIS  OF "&amp;UPPER('KEY INPUTS'!D57)&amp;" UTILITY  ASSESSMENT  TRUST  CASH  AND  INVESTMENTS"</f>
        <v>ANALYSIS  OF  UTILITY  ASSESSMENT  TRUST  CASH  AND  INVESTMENTS</v>
      </c>
      <c r="C2" s="1788"/>
      <c r="D2" s="1788"/>
      <c r="E2" s="1788"/>
      <c r="F2" s="1788"/>
      <c r="G2" s="1788"/>
      <c r="H2" s="1788"/>
      <c r="I2" s="1788"/>
      <c r="J2" s="1788"/>
      <c r="K2" s="1788"/>
      <c r="L2" s="1788"/>
    </row>
    <row r="3" spans="1:22" ht="21" thickBot="1">
      <c r="B3" s="1788" t="s">
        <v>1054</v>
      </c>
      <c r="C3" s="1788"/>
      <c r="D3" s="1788"/>
      <c r="E3" s="1788"/>
      <c r="F3" s="1788"/>
      <c r="G3" s="1788"/>
      <c r="H3" s="1788"/>
      <c r="I3" s="1788"/>
      <c r="J3" s="1788"/>
      <c r="K3" s="1788"/>
      <c r="L3" s="1788"/>
    </row>
    <row r="4" spans="1:22" ht="13.8" thickTop="1">
      <c r="B4" s="1142"/>
      <c r="C4" s="1142"/>
      <c r="D4" s="1142"/>
      <c r="E4" s="1143" t="s">
        <v>670</v>
      </c>
      <c r="F4" s="1142"/>
      <c r="G4" s="1142"/>
      <c r="H4" s="1142"/>
      <c r="I4" s="1142"/>
      <c r="J4" s="1144"/>
      <c r="K4" s="1142"/>
      <c r="L4" s="1145"/>
    </row>
    <row r="5" spans="1:22" ht="15.6">
      <c r="B5" s="1146"/>
      <c r="C5" s="1146" t="s">
        <v>678</v>
      </c>
      <c r="D5" s="1146"/>
      <c r="E5" s="1147" t="s">
        <v>671</v>
      </c>
      <c r="F5" s="1789" t="s">
        <v>672</v>
      </c>
      <c r="G5" s="1790"/>
      <c r="H5" s="1790"/>
      <c r="I5" s="1791"/>
      <c r="J5" s="1148"/>
      <c r="K5" s="1146"/>
      <c r="L5" s="1149" t="s">
        <v>671</v>
      </c>
    </row>
    <row r="6" spans="1:22">
      <c r="B6" s="1146"/>
      <c r="C6" s="1146" t="s">
        <v>679</v>
      </c>
      <c r="D6" s="1146"/>
      <c r="E6" s="1150" t="str">
        <f>'KEY INPUTS'!D45</f>
        <v>Dec. 31, 2018</v>
      </c>
      <c r="F6" s="1147" t="s">
        <v>673</v>
      </c>
      <c r="G6" s="1147" t="s">
        <v>320</v>
      </c>
      <c r="H6" s="1148"/>
      <c r="I6" s="1148"/>
      <c r="J6" s="1148"/>
      <c r="K6" s="1151" t="s">
        <v>677</v>
      </c>
      <c r="L6" s="1152" t="str">
        <f>'KEY INPUTS'!D46</f>
        <v>Dec. 31, 2019</v>
      </c>
    </row>
    <row r="7" spans="1:22" ht="13.8" thickBot="1">
      <c r="B7" s="1153"/>
      <c r="C7" s="1153"/>
      <c r="D7" s="1153"/>
      <c r="E7" s="1154"/>
      <c r="F7" s="1155" t="s">
        <v>674</v>
      </c>
      <c r="G7" s="1155" t="s">
        <v>676</v>
      </c>
      <c r="H7" s="1154"/>
      <c r="I7" s="1154"/>
      <c r="J7" s="1154"/>
      <c r="K7" s="1156"/>
      <c r="L7" s="1157"/>
    </row>
    <row r="8" spans="1:22" ht="21" customHeight="1" thickTop="1">
      <c r="B8" s="1158" t="s">
        <v>781</v>
      </c>
      <c r="C8" s="1158"/>
      <c r="D8" s="1159"/>
      <c r="E8" s="1088" t="s">
        <v>787</v>
      </c>
      <c r="F8" s="1088" t="s">
        <v>787</v>
      </c>
      <c r="G8" s="1088" t="s">
        <v>787</v>
      </c>
      <c r="H8" s="1088" t="s">
        <v>787</v>
      </c>
      <c r="I8" s="1088" t="s">
        <v>787</v>
      </c>
      <c r="J8" s="1088" t="s">
        <v>787</v>
      </c>
      <c r="K8" s="1088" t="s">
        <v>787</v>
      </c>
      <c r="L8" s="867" t="s">
        <v>787</v>
      </c>
      <c r="P8" s="322"/>
      <c r="Q8" s="322"/>
      <c r="R8" s="322"/>
      <c r="S8" s="322"/>
      <c r="T8" s="322"/>
      <c r="U8" s="322"/>
      <c r="V8" s="322"/>
    </row>
    <row r="9" spans="1:22" ht="21" customHeight="1">
      <c r="B9" s="648"/>
      <c r="C9" s="648"/>
      <c r="D9" s="652"/>
      <c r="E9" s="601"/>
      <c r="F9" s="601"/>
      <c r="G9" s="601"/>
      <c r="H9" s="601"/>
      <c r="I9" s="601"/>
      <c r="J9" s="601"/>
      <c r="K9" s="601"/>
      <c r="L9" s="1081">
        <f>+E9+F9+G9+H9+I9+J9-K9</f>
        <v>0</v>
      </c>
      <c r="P9" s="322"/>
      <c r="Q9" s="322"/>
      <c r="R9" s="322"/>
      <c r="S9" s="322"/>
      <c r="T9" s="322"/>
      <c r="U9" s="322"/>
      <c r="V9" s="322"/>
    </row>
    <row r="10" spans="1:22" ht="21" customHeight="1">
      <c r="B10" s="648"/>
      <c r="C10" s="648"/>
      <c r="D10" s="652"/>
      <c r="E10" s="601"/>
      <c r="F10" s="601"/>
      <c r="G10" s="601"/>
      <c r="H10" s="601"/>
      <c r="I10" s="601"/>
      <c r="J10" s="601"/>
      <c r="K10" s="601"/>
      <c r="L10" s="1081">
        <f t="shared" ref="L10:L25" si="0">+E10+F10+G10+H10+I10+J10-K10</f>
        <v>0</v>
      </c>
      <c r="P10" s="377"/>
      <c r="Q10" s="322"/>
      <c r="R10" s="322"/>
      <c r="S10" s="322"/>
      <c r="T10" s="322"/>
      <c r="U10" s="322"/>
      <c r="V10" s="322"/>
    </row>
    <row r="11" spans="1:22" ht="21" customHeight="1">
      <c r="B11" s="648"/>
      <c r="C11" s="648"/>
      <c r="D11" s="652"/>
      <c r="E11" s="601"/>
      <c r="F11" s="601"/>
      <c r="G11" s="601"/>
      <c r="H11" s="601"/>
      <c r="I11" s="601"/>
      <c r="J11" s="601"/>
      <c r="K11" s="601"/>
      <c r="L11" s="1081">
        <f t="shared" si="0"/>
        <v>0</v>
      </c>
      <c r="P11" s="322"/>
      <c r="Q11" s="322"/>
      <c r="R11" s="322"/>
      <c r="S11" s="322"/>
      <c r="T11" s="322"/>
      <c r="U11" s="322"/>
      <c r="V11" s="322"/>
    </row>
    <row r="12" spans="1:22" ht="21" customHeight="1">
      <c r="B12" s="648"/>
      <c r="C12" s="648"/>
      <c r="D12" s="652"/>
      <c r="E12" s="601"/>
      <c r="F12" s="601"/>
      <c r="G12" s="601"/>
      <c r="H12" s="601"/>
      <c r="I12" s="601"/>
      <c r="J12" s="601"/>
      <c r="K12" s="601"/>
      <c r="L12" s="1081">
        <f t="shared" si="0"/>
        <v>0</v>
      </c>
      <c r="P12" s="322"/>
      <c r="Q12" s="322"/>
      <c r="R12" s="322"/>
      <c r="S12" s="322"/>
      <c r="T12" s="322"/>
      <c r="U12" s="322"/>
      <c r="V12" s="322"/>
    </row>
    <row r="13" spans="1:22" ht="21" customHeight="1">
      <c r="B13" s="648"/>
      <c r="C13" s="648"/>
      <c r="D13" s="652"/>
      <c r="E13" s="604"/>
      <c r="F13" s="601"/>
      <c r="G13" s="601"/>
      <c r="H13" s="601"/>
      <c r="I13" s="601"/>
      <c r="J13" s="601"/>
      <c r="K13" s="601"/>
      <c r="L13" s="1081">
        <f t="shared" si="0"/>
        <v>0</v>
      </c>
      <c r="P13" s="322"/>
      <c r="Q13" s="322"/>
      <c r="R13" s="322"/>
      <c r="S13" s="322"/>
      <c r="T13" s="322"/>
      <c r="U13" s="322"/>
      <c r="V13" s="322"/>
    </row>
    <row r="14" spans="1:22" ht="21" customHeight="1">
      <c r="B14" s="1139" t="s">
        <v>782</v>
      </c>
      <c r="C14" s="1139"/>
      <c r="D14" s="1165"/>
      <c r="E14" s="973" t="s">
        <v>787</v>
      </c>
      <c r="F14" s="973" t="s">
        <v>787</v>
      </c>
      <c r="G14" s="973" t="s">
        <v>787</v>
      </c>
      <c r="H14" s="973" t="s">
        <v>787</v>
      </c>
      <c r="I14" s="973" t="s">
        <v>787</v>
      </c>
      <c r="J14" s="973" t="s">
        <v>787</v>
      </c>
      <c r="K14" s="973" t="s">
        <v>787</v>
      </c>
      <c r="L14" s="869" t="s">
        <v>787</v>
      </c>
      <c r="P14" s="322"/>
      <c r="Q14" s="322"/>
      <c r="R14" s="322"/>
      <c r="S14" s="322"/>
      <c r="T14" s="322"/>
      <c r="U14" s="322"/>
      <c r="V14" s="322"/>
    </row>
    <row r="15" spans="1:22" ht="21" customHeight="1">
      <c r="A15" s="1792" t="s">
        <v>3416</v>
      </c>
      <c r="B15" s="648"/>
      <c r="C15" s="648"/>
      <c r="D15" s="652"/>
      <c r="E15" s="601"/>
      <c r="F15" s="601"/>
      <c r="G15" s="601"/>
      <c r="H15" s="601"/>
      <c r="I15" s="601"/>
      <c r="J15" s="601"/>
      <c r="K15" s="601"/>
      <c r="L15" s="1081">
        <f t="shared" si="0"/>
        <v>0</v>
      </c>
      <c r="P15" s="322"/>
      <c r="Q15" s="322"/>
      <c r="R15" s="322"/>
      <c r="S15" s="322"/>
      <c r="T15" s="322"/>
      <c r="U15" s="322"/>
      <c r="V15" s="322"/>
    </row>
    <row r="16" spans="1:22" ht="21" customHeight="1">
      <c r="A16" s="1792"/>
      <c r="B16" s="648"/>
      <c r="C16" s="648"/>
      <c r="D16" s="652"/>
      <c r="E16" s="601"/>
      <c r="F16" s="601"/>
      <c r="G16" s="601"/>
      <c r="H16" s="601"/>
      <c r="I16" s="601"/>
      <c r="J16" s="601"/>
      <c r="K16" s="601"/>
      <c r="L16" s="1081">
        <f t="shared" si="0"/>
        <v>0</v>
      </c>
      <c r="P16" s="322"/>
      <c r="Q16" s="322"/>
      <c r="R16" s="322"/>
      <c r="S16" s="322"/>
      <c r="T16" s="322"/>
      <c r="U16" s="322"/>
      <c r="V16" s="322"/>
    </row>
    <row r="17" spans="1:22" ht="21" customHeight="1">
      <c r="A17" s="1792"/>
      <c r="B17" s="648"/>
      <c r="C17" s="648"/>
      <c r="D17" s="652"/>
      <c r="E17" s="601"/>
      <c r="F17" s="601"/>
      <c r="G17" s="601"/>
      <c r="H17" s="601"/>
      <c r="I17" s="601"/>
      <c r="J17" s="601"/>
      <c r="K17" s="601"/>
      <c r="L17" s="1081">
        <f t="shared" si="0"/>
        <v>0</v>
      </c>
      <c r="P17" s="322"/>
      <c r="Q17" s="322"/>
      <c r="R17" s="322"/>
      <c r="S17" s="322"/>
      <c r="T17" s="322"/>
      <c r="U17" s="322"/>
      <c r="V17" s="322"/>
    </row>
    <row r="18" spans="1:22" ht="21" customHeight="1">
      <c r="B18" s="648"/>
      <c r="C18" s="648"/>
      <c r="D18" s="652"/>
      <c r="E18" s="601"/>
      <c r="F18" s="601"/>
      <c r="G18" s="601"/>
      <c r="H18" s="601"/>
      <c r="I18" s="601"/>
      <c r="J18" s="601"/>
      <c r="K18" s="601"/>
      <c r="L18" s="1081">
        <f t="shared" si="0"/>
        <v>0</v>
      </c>
      <c r="P18" s="322"/>
      <c r="Q18" s="322"/>
      <c r="R18" s="322"/>
      <c r="S18" s="322"/>
      <c r="T18" s="322"/>
      <c r="U18" s="322"/>
      <c r="V18" s="322"/>
    </row>
    <row r="19" spans="1:22" ht="21" customHeight="1">
      <c r="B19" s="1139" t="s">
        <v>783</v>
      </c>
      <c r="C19" s="1139"/>
      <c r="D19" s="1165"/>
      <c r="E19" s="601"/>
      <c r="F19" s="601"/>
      <c r="G19" s="601"/>
      <c r="H19" s="601"/>
      <c r="I19" s="601"/>
      <c r="J19" s="601"/>
      <c r="K19" s="601"/>
      <c r="L19" s="1081">
        <f t="shared" si="0"/>
        <v>0</v>
      </c>
      <c r="P19" s="322"/>
      <c r="Q19" s="322"/>
      <c r="R19" s="322"/>
      <c r="S19" s="322"/>
      <c r="T19" s="322"/>
      <c r="U19" s="322"/>
      <c r="V19" s="322"/>
    </row>
    <row r="20" spans="1:22" ht="21" customHeight="1">
      <c r="B20" s="1139" t="s">
        <v>784</v>
      </c>
      <c r="C20" s="1139"/>
      <c r="D20" s="1165"/>
      <c r="E20" s="601"/>
      <c r="F20" s="601"/>
      <c r="G20" s="601"/>
      <c r="H20" s="601"/>
      <c r="I20" s="601"/>
      <c r="J20" s="601"/>
      <c r="K20" s="601"/>
      <c r="L20" s="1081">
        <f t="shared" si="0"/>
        <v>0</v>
      </c>
      <c r="P20" s="322"/>
      <c r="Q20" s="322"/>
      <c r="R20" s="322"/>
      <c r="S20" s="322"/>
      <c r="T20" s="322"/>
      <c r="U20" s="322"/>
      <c r="V20" s="322"/>
    </row>
    <row r="21" spans="1:22" ht="21" customHeight="1">
      <c r="B21" s="1139" t="s">
        <v>321</v>
      </c>
      <c r="C21" s="1139"/>
      <c r="D21" s="1165"/>
      <c r="E21" s="973" t="s">
        <v>787</v>
      </c>
      <c r="F21" s="973" t="s">
        <v>787</v>
      </c>
      <c r="G21" s="973" t="s">
        <v>787</v>
      </c>
      <c r="H21" s="973" t="s">
        <v>787</v>
      </c>
      <c r="I21" s="973" t="s">
        <v>787</v>
      </c>
      <c r="J21" s="973" t="s">
        <v>787</v>
      </c>
      <c r="K21" s="973" t="s">
        <v>787</v>
      </c>
      <c r="L21" s="869" t="s">
        <v>787</v>
      </c>
      <c r="P21" s="322"/>
      <c r="Q21" s="322"/>
      <c r="R21" s="322"/>
      <c r="S21" s="322"/>
      <c r="T21" s="322"/>
      <c r="U21" s="322"/>
      <c r="V21" s="322"/>
    </row>
    <row r="22" spans="1:22" ht="21" customHeight="1">
      <c r="B22" s="648"/>
      <c r="C22" s="648"/>
      <c r="D22" s="652"/>
      <c r="E22" s="601"/>
      <c r="F22" s="601"/>
      <c r="G22" s="601"/>
      <c r="H22" s="601"/>
      <c r="I22" s="601"/>
      <c r="J22" s="601"/>
      <c r="K22" s="601"/>
      <c r="L22" s="1081">
        <f t="shared" si="0"/>
        <v>0</v>
      </c>
      <c r="P22" s="322"/>
      <c r="Q22" s="322"/>
      <c r="R22" s="322"/>
      <c r="S22" s="322"/>
      <c r="T22" s="322"/>
      <c r="U22" s="322"/>
      <c r="V22" s="322"/>
    </row>
    <row r="23" spans="1:22" ht="21" customHeight="1">
      <c r="B23" s="648"/>
      <c r="C23" s="648"/>
      <c r="D23" s="652"/>
      <c r="E23" s="601"/>
      <c r="F23" s="601"/>
      <c r="G23" s="601"/>
      <c r="H23" s="601"/>
      <c r="I23" s="601"/>
      <c r="J23" s="601"/>
      <c r="K23" s="601"/>
      <c r="L23" s="1081">
        <f t="shared" si="0"/>
        <v>0</v>
      </c>
      <c r="P23" s="322"/>
      <c r="Q23" s="322"/>
      <c r="R23" s="322"/>
      <c r="S23" s="322"/>
      <c r="T23" s="322"/>
      <c r="U23" s="322"/>
      <c r="V23" s="322"/>
    </row>
    <row r="24" spans="1:22" ht="21" customHeight="1">
      <c r="B24" s="648"/>
      <c r="C24" s="648"/>
      <c r="D24" s="652"/>
      <c r="E24" s="601"/>
      <c r="F24" s="601"/>
      <c r="G24" s="601"/>
      <c r="H24" s="601"/>
      <c r="I24" s="601"/>
      <c r="J24" s="601"/>
      <c r="K24" s="601"/>
      <c r="L24" s="1081">
        <f t="shared" si="0"/>
        <v>0</v>
      </c>
      <c r="P24" s="322"/>
      <c r="Q24" s="322"/>
      <c r="R24" s="322"/>
      <c r="S24" s="322"/>
      <c r="T24" s="322"/>
      <c r="U24" s="322"/>
      <c r="V24" s="322"/>
    </row>
    <row r="25" spans="1:22" ht="21" customHeight="1" thickBot="1">
      <c r="B25" s="648"/>
      <c r="C25" s="648"/>
      <c r="D25" s="652"/>
      <c r="E25" s="627"/>
      <c r="F25" s="627"/>
      <c r="G25" s="627"/>
      <c r="H25" s="627"/>
      <c r="I25" s="627"/>
      <c r="J25" s="627"/>
      <c r="K25" s="627"/>
      <c r="L25" s="1160">
        <f t="shared" si="0"/>
        <v>0</v>
      </c>
    </row>
    <row r="26" spans="1:22" ht="21" customHeight="1" thickTop="1" thickBot="1">
      <c r="B26" s="1162"/>
      <c r="C26" s="1162"/>
      <c r="D26" s="1163"/>
      <c r="E26" s="1083">
        <f t="shared" ref="E26:K26" si="1">SUM(E9:E25)</f>
        <v>0</v>
      </c>
      <c r="F26" s="1083">
        <f t="shared" si="1"/>
        <v>0</v>
      </c>
      <c r="G26" s="1083">
        <f t="shared" si="1"/>
        <v>0</v>
      </c>
      <c r="H26" s="1083">
        <f t="shared" si="1"/>
        <v>0</v>
      </c>
      <c r="I26" s="1083">
        <f t="shared" si="1"/>
        <v>0</v>
      </c>
      <c r="J26" s="1083">
        <f t="shared" si="1"/>
        <v>0</v>
      </c>
      <c r="K26" s="1083">
        <f t="shared" si="1"/>
        <v>0</v>
      </c>
      <c r="L26" s="1161">
        <f>SUM(L9:L25)</f>
        <v>0</v>
      </c>
    </row>
    <row r="27" spans="1:22" ht="13.8" thickTop="1">
      <c r="B27" s="1164" t="s">
        <v>786</v>
      </c>
      <c r="C27" s="1146"/>
      <c r="D27" s="1146"/>
      <c r="E27" s="1146"/>
      <c r="F27" s="1146"/>
      <c r="G27" s="1146"/>
      <c r="H27" s="1146"/>
      <c r="I27" s="1146"/>
      <c r="J27" s="1146"/>
      <c r="K27" s="1146"/>
      <c r="L27" s="1146"/>
    </row>
  </sheetData>
  <sheetProtection password="CAF9"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4">
    <mergeCell ref="B2:L2"/>
    <mergeCell ref="B3:L3"/>
    <mergeCell ref="F5:I5"/>
    <mergeCell ref="A15:A17"/>
  </mergeCells>
  <pageMargins left="0.25" right="0.25" top="0.5" bottom="0.5" header="0.25" footer="0.25"/>
  <pageSetup paperSize="5" orientation="landscape" r:id="rId5"/>
  <headerFooter alignWithMargins="0"/>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Sheet275">
    <tabColor theme="3" tint="0.79998168889431442"/>
  </sheetPr>
  <dimension ref="B1:T55"/>
  <sheetViews>
    <sheetView zoomScaleNormal="100" zoomScaleSheetLayoutView="80" workbookViewId="0">
      <selection activeCell="B14" sqref="B14"/>
    </sheetView>
  </sheetViews>
  <sheetFormatPr defaultColWidth="8.88671875" defaultRowHeight="13.2"/>
  <cols>
    <col min="1" max="1" width="4.6640625" style="398" customWidth="1"/>
    <col min="2" max="3" width="3.6640625" style="398" customWidth="1"/>
    <col min="4" max="4" width="4.6640625" style="398" customWidth="1"/>
    <col min="5" max="5" width="8.88671875" style="398"/>
    <col min="6" max="6" width="16.6640625" style="398" customWidth="1"/>
    <col min="7" max="7" width="8.6640625" style="398" customWidth="1"/>
    <col min="8" max="10" width="16.6640625" style="398" customWidth="1"/>
    <col min="11" max="11" width="8.88671875" style="398"/>
    <col min="12" max="12" width="11.33203125" style="398" bestFit="1" customWidth="1"/>
    <col min="13" max="16384" width="8.88671875" style="398"/>
  </cols>
  <sheetData>
    <row r="1" spans="2:20">
      <c r="B1" s="1114"/>
      <c r="C1" s="1114"/>
      <c r="D1" s="1114"/>
      <c r="E1" s="1114"/>
      <c r="F1" s="1114"/>
      <c r="G1" s="1114"/>
      <c r="H1" s="1114"/>
      <c r="I1" s="1114"/>
      <c r="J1" s="1114"/>
    </row>
    <row r="2" spans="2:20" ht="22.8">
      <c r="B2" s="1759" t="str">
        <f>"SCHEDULE  OF "&amp;UPPER('KEY INPUTS'!D57)&amp;" UTILITY  BUDGET  -  "&amp;TEXT('KEY INPUTS'!D34,"0")&amp;""</f>
        <v>SCHEDULE  OF  UTILITY  BUDGET  -  2019</v>
      </c>
      <c r="C2" s="1759"/>
      <c r="D2" s="1759"/>
      <c r="E2" s="1759"/>
      <c r="F2" s="1759"/>
      <c r="G2" s="1759"/>
      <c r="H2" s="1759"/>
      <c r="I2" s="1759"/>
      <c r="J2" s="1759"/>
    </row>
    <row r="3" spans="2:20" ht="12" customHeight="1">
      <c r="B3" s="1301"/>
      <c r="C3" s="1301"/>
      <c r="D3" s="1301"/>
      <c r="E3" s="1301"/>
      <c r="F3" s="1301"/>
      <c r="G3" s="1301"/>
      <c r="H3" s="1301"/>
      <c r="I3" s="1301"/>
      <c r="J3" s="1301"/>
    </row>
    <row r="4" spans="2:20" ht="17.25" customHeight="1" thickBot="1">
      <c r="B4" s="1919" t="s">
        <v>1055</v>
      </c>
      <c r="C4" s="1919"/>
      <c r="D4" s="1919"/>
      <c r="E4" s="1919"/>
      <c r="F4" s="1919"/>
      <c r="G4" s="1919"/>
      <c r="H4" s="1919"/>
      <c r="I4" s="1919"/>
      <c r="J4" s="1919"/>
    </row>
    <row r="5" spans="2:20" ht="13.8" thickTop="1">
      <c r="B5" s="1920" t="s">
        <v>211</v>
      </c>
      <c r="C5" s="1920"/>
      <c r="D5" s="1920"/>
      <c r="E5" s="1920"/>
      <c r="F5" s="1920"/>
      <c r="G5" s="1885"/>
      <c r="H5" s="1238" t="s">
        <v>676</v>
      </c>
      <c r="I5" s="1238" t="s">
        <v>803</v>
      </c>
      <c r="J5" s="1302" t="s">
        <v>424</v>
      </c>
    </row>
    <row r="6" spans="2:20" ht="13.8" thickBot="1">
      <c r="B6" s="1921"/>
      <c r="C6" s="1921"/>
      <c r="D6" s="1921"/>
      <c r="E6" s="1921"/>
      <c r="F6" s="1921"/>
      <c r="G6" s="1922"/>
      <c r="H6" s="1303"/>
      <c r="I6" s="1303" t="s">
        <v>423</v>
      </c>
      <c r="J6" s="1304" t="s">
        <v>425</v>
      </c>
    </row>
    <row r="7" spans="2:20" ht="21" customHeight="1" thickTop="1">
      <c r="B7" s="1170" t="s">
        <v>3433</v>
      </c>
      <c r="C7" s="1170"/>
      <c r="D7" s="1170"/>
      <c r="E7" s="1170"/>
      <c r="F7" s="1170"/>
      <c r="G7" s="1305" t="s">
        <v>3432</v>
      </c>
      <c r="H7" s="605"/>
      <c r="I7" s="1309">
        <f>H7</f>
        <v>0</v>
      </c>
      <c r="J7" s="1203">
        <f>+I7-H7</f>
        <v>0</v>
      </c>
    </row>
    <row r="8" spans="2:20" ht="10.5" customHeight="1">
      <c r="B8" s="1209" t="s">
        <v>3431</v>
      </c>
      <c r="C8" s="1114"/>
      <c r="D8" s="1114"/>
      <c r="E8" s="1114"/>
      <c r="F8" s="1114"/>
      <c r="G8" s="1306"/>
      <c r="H8" s="1308"/>
      <c r="I8" s="1308"/>
      <c r="J8" s="1118"/>
    </row>
    <row r="9" spans="2:20">
      <c r="B9" s="1128" t="s">
        <v>214</v>
      </c>
      <c r="C9" s="1128"/>
      <c r="D9" s="1128"/>
      <c r="E9" s="1128"/>
      <c r="F9" s="1128"/>
      <c r="G9" s="1307" t="s">
        <v>3430</v>
      </c>
      <c r="H9" s="653"/>
      <c r="I9" s="653"/>
      <c r="J9" s="858">
        <f t="shared" ref="J9:J15" si="0">+I9-H9</f>
        <v>0</v>
      </c>
    </row>
    <row r="10" spans="2:20" ht="21" customHeight="1">
      <c r="B10" s="648"/>
      <c r="C10" s="648"/>
      <c r="D10" s="648"/>
      <c r="E10" s="648"/>
      <c r="F10" s="648"/>
      <c r="G10" s="1166"/>
      <c r="H10" s="780"/>
      <c r="I10" s="780"/>
      <c r="J10" s="1310">
        <f t="shared" si="0"/>
        <v>0</v>
      </c>
      <c r="N10" s="322"/>
      <c r="O10" s="322"/>
      <c r="P10" s="322"/>
      <c r="Q10" s="322"/>
      <c r="R10" s="322"/>
      <c r="S10" s="322"/>
      <c r="T10" s="322"/>
    </row>
    <row r="11" spans="2:20" ht="21" customHeight="1">
      <c r="B11" s="648"/>
      <c r="C11" s="648"/>
      <c r="D11" s="648"/>
      <c r="E11" s="648"/>
      <c r="F11" s="648"/>
      <c r="G11" s="1166"/>
      <c r="H11" s="780"/>
      <c r="I11" s="780"/>
      <c r="J11" s="1124">
        <f t="shared" si="0"/>
        <v>0</v>
      </c>
      <c r="N11" s="322"/>
      <c r="O11" s="322"/>
      <c r="P11" s="322"/>
      <c r="Q11" s="322"/>
      <c r="R11" s="322"/>
      <c r="S11" s="322"/>
      <c r="T11" s="322"/>
    </row>
    <row r="12" spans="2:20" ht="21" customHeight="1">
      <c r="B12" s="648"/>
      <c r="C12" s="648"/>
      <c r="D12" s="648"/>
      <c r="E12" s="648"/>
      <c r="F12" s="648"/>
      <c r="G12" s="1166"/>
      <c r="H12" s="780"/>
      <c r="I12" s="780"/>
      <c r="J12" s="1124">
        <f t="shared" si="0"/>
        <v>0</v>
      </c>
      <c r="N12" s="377"/>
      <c r="O12" s="322"/>
      <c r="P12" s="322"/>
      <c r="Q12" s="322"/>
      <c r="R12" s="322"/>
      <c r="S12" s="322"/>
      <c r="T12" s="322"/>
    </row>
    <row r="13" spans="2:20" ht="21" customHeight="1">
      <c r="B13" s="648"/>
      <c r="C13" s="648"/>
      <c r="D13" s="648"/>
      <c r="E13" s="648"/>
      <c r="F13" s="648"/>
      <c r="G13" s="1166"/>
      <c r="H13" s="780"/>
      <c r="I13" s="780"/>
      <c r="J13" s="1124">
        <f t="shared" si="0"/>
        <v>0</v>
      </c>
      <c r="N13" s="322"/>
      <c r="O13" s="322"/>
      <c r="P13" s="322"/>
      <c r="Q13" s="322"/>
      <c r="R13" s="322"/>
      <c r="S13" s="322"/>
      <c r="T13" s="322"/>
    </row>
    <row r="14" spans="2:20" ht="21" customHeight="1">
      <c r="B14" s="648"/>
      <c r="C14" s="648"/>
      <c r="D14" s="648"/>
      <c r="E14" s="648"/>
      <c r="F14" s="648"/>
      <c r="G14" s="1166"/>
      <c r="H14" s="780"/>
      <c r="I14" s="780"/>
      <c r="J14" s="1124">
        <f t="shared" si="0"/>
        <v>0</v>
      </c>
      <c r="N14" s="322"/>
      <c r="O14" s="322"/>
      <c r="P14" s="322"/>
      <c r="Q14" s="322"/>
      <c r="R14" s="322"/>
      <c r="S14" s="322"/>
      <c r="T14" s="322"/>
    </row>
    <row r="15" spans="2:20" ht="21" customHeight="1">
      <c r="B15" s="690" t="s">
        <v>3429</v>
      </c>
      <c r="C15" s="690"/>
      <c r="D15" s="690"/>
      <c r="E15" s="690"/>
      <c r="F15" s="690"/>
      <c r="G15" s="1307" t="s">
        <v>3425</v>
      </c>
      <c r="H15" s="780"/>
      <c r="I15" s="780"/>
      <c r="J15" s="1124">
        <f t="shared" si="0"/>
        <v>0</v>
      </c>
      <c r="N15" s="322"/>
      <c r="O15" s="322"/>
      <c r="P15" s="322"/>
      <c r="Q15" s="322"/>
      <c r="R15" s="322"/>
      <c r="S15" s="322"/>
      <c r="T15" s="322"/>
    </row>
    <row r="16" spans="2:20" ht="21" customHeight="1">
      <c r="B16" s="690" t="s">
        <v>3428</v>
      </c>
      <c r="C16" s="690"/>
      <c r="D16" s="690"/>
      <c r="E16" s="690"/>
      <c r="F16" s="690"/>
      <c r="G16" s="1307"/>
      <c r="H16" s="780"/>
      <c r="I16" s="780"/>
      <c r="J16" s="1124"/>
      <c r="N16" s="322"/>
      <c r="O16" s="322"/>
      <c r="P16" s="322"/>
      <c r="Q16" s="322"/>
      <c r="R16" s="322"/>
      <c r="S16" s="322"/>
      <c r="T16" s="322"/>
    </row>
    <row r="17" spans="2:20" ht="21" customHeight="1">
      <c r="B17" s="690" t="s">
        <v>422</v>
      </c>
      <c r="C17" s="690"/>
      <c r="D17" s="690"/>
      <c r="E17" s="690"/>
      <c r="F17" s="690"/>
      <c r="G17" s="1307"/>
      <c r="H17" s="1174" t="s">
        <v>787</v>
      </c>
      <c r="I17" s="1174" t="s">
        <v>787</v>
      </c>
      <c r="J17" s="1300" t="s">
        <v>787</v>
      </c>
      <c r="N17" s="322"/>
      <c r="O17" s="322"/>
      <c r="P17" s="322"/>
      <c r="Q17" s="322"/>
      <c r="R17" s="322"/>
      <c r="S17" s="322"/>
      <c r="T17" s="322"/>
    </row>
    <row r="18" spans="2:20" ht="21" customHeight="1">
      <c r="B18" s="648"/>
      <c r="C18" s="648"/>
      <c r="D18" s="648"/>
      <c r="E18" s="648"/>
      <c r="F18" s="648"/>
      <c r="G18" s="648"/>
      <c r="H18" s="601"/>
      <c r="I18" s="601"/>
      <c r="J18" s="609"/>
      <c r="N18" s="322"/>
      <c r="O18" s="322"/>
      <c r="P18" s="322"/>
      <c r="Q18" s="322"/>
      <c r="R18" s="322"/>
      <c r="S18" s="322"/>
      <c r="T18" s="322"/>
    </row>
    <row r="19" spans="2:20" ht="21" customHeight="1" thickBot="1">
      <c r="B19" s="648"/>
      <c r="C19" s="648"/>
      <c r="D19" s="648"/>
      <c r="E19" s="648"/>
      <c r="F19" s="648"/>
      <c r="G19" s="648"/>
      <c r="H19" s="627"/>
      <c r="I19" s="627"/>
      <c r="J19" s="671"/>
      <c r="N19" s="322"/>
      <c r="O19" s="322"/>
      <c r="P19" s="322"/>
      <c r="Q19" s="322"/>
      <c r="R19" s="322"/>
      <c r="S19" s="322"/>
      <c r="T19" s="322"/>
    </row>
    <row r="20" spans="2:20" ht="21" customHeight="1" thickTop="1">
      <c r="B20" s="690"/>
      <c r="C20" s="690"/>
      <c r="D20" s="690" t="s">
        <v>421</v>
      </c>
      <c r="E20" s="690"/>
      <c r="F20" s="690"/>
      <c r="G20" s="1312"/>
      <c r="H20" s="1315">
        <f>SUM(H7:H19)</f>
        <v>0</v>
      </c>
      <c r="I20" s="1315">
        <f>SUM(I7:I19)</f>
        <v>0</v>
      </c>
      <c r="J20" s="858">
        <f>SUM(J7:J19)</f>
        <v>0</v>
      </c>
      <c r="N20" s="322"/>
      <c r="O20" s="322"/>
      <c r="P20" s="322"/>
      <c r="Q20" s="322"/>
      <c r="R20" s="322"/>
      <c r="S20" s="322"/>
      <c r="T20" s="322"/>
    </row>
    <row r="21" spans="2:20" ht="21" customHeight="1" thickBot="1">
      <c r="B21" s="690" t="s">
        <v>3427</v>
      </c>
      <c r="C21" s="1313"/>
      <c r="D21" s="1313"/>
      <c r="E21" s="690"/>
      <c r="F21" s="690"/>
      <c r="G21" s="1307" t="s">
        <v>3426</v>
      </c>
      <c r="H21" s="654"/>
      <c r="I21" s="654"/>
      <c r="J21" s="1118">
        <f>I21-H21</f>
        <v>0</v>
      </c>
      <c r="N21" s="322"/>
      <c r="O21" s="322"/>
      <c r="P21" s="322"/>
      <c r="Q21" s="322"/>
      <c r="R21" s="322"/>
      <c r="S21" s="322"/>
      <c r="T21" s="322"/>
    </row>
    <row r="22" spans="2:20" ht="21" customHeight="1" thickTop="1" thickBot="1">
      <c r="B22" s="1114"/>
      <c r="C22" s="1114"/>
      <c r="D22" s="1114"/>
      <c r="E22" s="1114"/>
      <c r="F22" s="1114"/>
      <c r="G22" s="1314" t="s">
        <v>3425</v>
      </c>
      <c r="H22" s="1316">
        <f>+H20+H21</f>
        <v>0</v>
      </c>
      <c r="I22" s="1316">
        <f>+I20+I21</f>
        <v>0</v>
      </c>
      <c r="J22" s="1311">
        <f>+J20+J21</f>
        <v>0</v>
      </c>
      <c r="L22" s="399" t="s">
        <v>3406</v>
      </c>
      <c r="N22" s="322"/>
      <c r="O22" s="322"/>
      <c r="P22" s="322"/>
      <c r="Q22" s="322"/>
      <c r="R22" s="322"/>
      <c r="S22" s="322"/>
      <c r="T22" s="322"/>
    </row>
    <row r="23" spans="2:20" ht="13.8" thickTop="1">
      <c r="B23" s="427" t="s">
        <v>3424</v>
      </c>
      <c r="N23" s="322"/>
      <c r="O23" s="322"/>
      <c r="P23" s="322"/>
      <c r="Q23" s="322"/>
      <c r="R23" s="322"/>
      <c r="S23" s="322"/>
      <c r="T23" s="322"/>
    </row>
    <row r="24" spans="2:20">
      <c r="B24" s="427" t="s">
        <v>3423</v>
      </c>
      <c r="N24" s="322"/>
      <c r="O24" s="322"/>
      <c r="P24" s="322"/>
      <c r="Q24" s="322"/>
      <c r="R24" s="322"/>
      <c r="S24" s="322"/>
      <c r="T24" s="322"/>
    </row>
    <row r="25" spans="2:20">
      <c r="N25" s="322"/>
      <c r="O25" s="322"/>
      <c r="P25" s="322"/>
      <c r="Q25" s="322"/>
      <c r="R25" s="322"/>
      <c r="S25" s="322"/>
      <c r="T25" s="322"/>
    </row>
    <row r="26" spans="2:20">
      <c r="N26" s="322"/>
      <c r="O26" s="322"/>
      <c r="P26" s="322"/>
      <c r="Q26" s="322"/>
      <c r="R26" s="322"/>
      <c r="S26" s="322"/>
      <c r="T26" s="322"/>
    </row>
    <row r="27" spans="2:20" ht="17.25" customHeight="1" thickBot="1">
      <c r="B27" s="1919" t="s">
        <v>426</v>
      </c>
      <c r="C27" s="1919"/>
      <c r="D27" s="1919"/>
      <c r="E27" s="1919"/>
      <c r="F27" s="1919"/>
      <c r="G27" s="1919"/>
      <c r="H27" s="1919"/>
      <c r="I27" s="1919"/>
      <c r="J27" s="1919"/>
    </row>
    <row r="28" spans="2:20" ht="21" customHeight="1" thickTop="1">
      <c r="B28" s="1317" t="s">
        <v>427</v>
      </c>
      <c r="C28" s="1318"/>
      <c r="D28" s="1318"/>
      <c r="E28" s="1318"/>
      <c r="F28" s="1318"/>
      <c r="G28" s="1318"/>
      <c r="H28" s="1318"/>
      <c r="I28" s="1319"/>
      <c r="J28" s="1320" t="s">
        <v>787</v>
      </c>
    </row>
    <row r="29" spans="2:20" ht="21" customHeight="1">
      <c r="B29" s="1321"/>
      <c r="C29" s="1322" t="s">
        <v>222</v>
      </c>
      <c r="D29" s="1322"/>
      <c r="E29" s="1322"/>
      <c r="F29" s="1322"/>
      <c r="G29" s="1322"/>
      <c r="H29" s="1322"/>
      <c r="I29" s="1323"/>
      <c r="J29" s="655"/>
    </row>
    <row r="30" spans="2:20" ht="21" customHeight="1">
      <c r="B30" s="1321"/>
      <c r="C30" s="1322" t="s">
        <v>428</v>
      </c>
      <c r="D30" s="1322"/>
      <c r="E30" s="1322"/>
      <c r="F30" s="1322"/>
      <c r="G30" s="1322"/>
      <c r="H30" s="1322"/>
      <c r="I30" s="1323"/>
      <c r="J30" s="655"/>
    </row>
    <row r="31" spans="2:20" ht="21" customHeight="1" thickBot="1">
      <c r="B31" s="1321"/>
      <c r="C31" s="1322" t="s">
        <v>429</v>
      </c>
      <c r="D31" s="1322"/>
      <c r="E31" s="1322"/>
      <c r="F31" s="1322"/>
      <c r="G31" s="1322"/>
      <c r="H31" s="1322"/>
      <c r="I31" s="1323"/>
      <c r="J31" s="657"/>
    </row>
    <row r="32" spans="2:20" ht="21" customHeight="1" thickTop="1">
      <c r="B32" s="1321" t="s">
        <v>430</v>
      </c>
      <c r="C32" s="1322"/>
      <c r="D32" s="1322"/>
      <c r="E32" s="1322"/>
      <c r="F32" s="1322"/>
      <c r="G32" s="1322"/>
      <c r="H32" s="1322"/>
      <c r="I32" s="1324"/>
      <c r="J32" s="1325">
        <f>SUM(J29:J31)</f>
        <v>0</v>
      </c>
    </row>
    <row r="33" spans="2:13" ht="21" customHeight="1" thickBot="1">
      <c r="B33" s="1321" t="s">
        <v>431</v>
      </c>
      <c r="C33" s="1322"/>
      <c r="D33" s="1322"/>
      <c r="E33" s="1322"/>
      <c r="F33" s="1322"/>
      <c r="G33" s="1322"/>
      <c r="H33" s="1322"/>
      <c r="I33" s="1324"/>
      <c r="J33" s="657"/>
    </row>
    <row r="34" spans="2:13" ht="21" customHeight="1" thickTop="1">
      <c r="B34" s="1321" t="s">
        <v>916</v>
      </c>
      <c r="C34" s="1322"/>
      <c r="D34" s="1322"/>
      <c r="E34" s="1322"/>
      <c r="F34" s="1322"/>
      <c r="G34" s="1322"/>
      <c r="H34" s="1322"/>
      <c r="I34" s="1324"/>
      <c r="J34" s="1325">
        <f>+J32+J33</f>
        <v>0</v>
      </c>
    </row>
    <row r="35" spans="2:13" ht="21" customHeight="1">
      <c r="B35" s="1321" t="s">
        <v>432</v>
      </c>
      <c r="C35" s="1322"/>
      <c r="D35" s="1322"/>
      <c r="E35" s="1322"/>
      <c r="F35" s="1322"/>
      <c r="G35" s="1322"/>
      <c r="H35" s="1322"/>
      <c r="I35" s="1324"/>
      <c r="J35" s="1326"/>
    </row>
    <row r="36" spans="2:13" ht="21" customHeight="1">
      <c r="B36" s="1328"/>
      <c r="C36" s="1328" t="s">
        <v>753</v>
      </c>
      <c r="D36" s="1328"/>
      <c r="E36" s="1328"/>
      <c r="F36" s="1328"/>
      <c r="G36" s="1328"/>
      <c r="H36" s="1328"/>
      <c r="I36" s="658"/>
      <c r="J36" s="1327"/>
    </row>
    <row r="37" spans="2:13" ht="21" customHeight="1">
      <c r="B37" s="1328"/>
      <c r="C37" s="1328" t="s">
        <v>920</v>
      </c>
      <c r="D37" s="1328"/>
      <c r="E37" s="1328"/>
      <c r="F37" s="1328"/>
      <c r="G37" s="1328"/>
      <c r="H37" s="1328"/>
      <c r="I37" s="658"/>
      <c r="J37" s="1327"/>
    </row>
    <row r="38" spans="2:13" ht="21" customHeight="1" thickBot="1">
      <c r="B38" s="1328" t="s">
        <v>433</v>
      </c>
      <c r="C38" s="1328"/>
      <c r="D38" s="1328"/>
      <c r="E38" s="1328"/>
      <c r="F38" s="1328"/>
      <c r="G38" s="1328"/>
      <c r="H38" s="1328"/>
      <c r="I38" s="659"/>
      <c r="J38" s="655"/>
      <c r="M38" s="399"/>
    </row>
    <row r="39" spans="2:13" ht="21" customHeight="1" thickTop="1" thickBot="1">
      <c r="B39" s="1328" t="s">
        <v>921</v>
      </c>
      <c r="C39" s="1328"/>
      <c r="D39" s="1328"/>
      <c r="E39" s="1328"/>
      <c r="F39" s="1328"/>
      <c r="G39" s="1328"/>
      <c r="H39" s="1328"/>
      <c r="I39" s="1329"/>
      <c r="J39" s="431">
        <f>SUM(I36:I38)</f>
        <v>0</v>
      </c>
    </row>
    <row r="40" spans="2:13" ht="21" customHeight="1" thickTop="1" thickBot="1">
      <c r="B40" s="1328" t="s">
        <v>434</v>
      </c>
      <c r="C40" s="1328"/>
      <c r="D40" s="1328"/>
      <c r="E40" s="1328"/>
      <c r="F40" s="1328"/>
      <c r="G40" s="1328"/>
      <c r="H40" s="1328"/>
      <c r="I40" s="1330"/>
      <c r="J40" s="428">
        <f>+J34-J39</f>
        <v>0</v>
      </c>
      <c r="K40" s="399"/>
    </row>
    <row r="41" spans="2:13" ht="13.8" thickTop="1"/>
    <row r="42" spans="2:13">
      <c r="B42" s="427" t="s">
        <v>3422</v>
      </c>
      <c r="C42" s="427"/>
      <c r="D42" s="427"/>
      <c r="E42" s="427"/>
      <c r="F42" s="427"/>
    </row>
    <row r="43" spans="2:13">
      <c r="B43" s="427"/>
      <c r="C43" s="427" t="s">
        <v>3421</v>
      </c>
      <c r="D43" s="427"/>
      <c r="E43" s="427"/>
      <c r="F43" s="427"/>
    </row>
    <row r="44" spans="2:13">
      <c r="B44" s="427"/>
      <c r="C44" s="427"/>
      <c r="D44" s="427" t="s">
        <v>3420</v>
      </c>
      <c r="E44" s="427"/>
      <c r="F44" s="427"/>
      <c r="M44" s="399"/>
    </row>
    <row r="45" spans="2:13">
      <c r="B45" s="427"/>
      <c r="C45" s="427" t="s">
        <v>43</v>
      </c>
      <c r="D45" s="427"/>
      <c r="E45" s="427"/>
      <c r="F45" s="427"/>
    </row>
    <row r="46" spans="2:13">
      <c r="B46" s="427"/>
      <c r="C46" s="427" t="s">
        <v>3419</v>
      </c>
      <c r="D46" s="427"/>
      <c r="E46" s="427"/>
      <c r="F46" s="427"/>
    </row>
    <row r="47" spans="2:13">
      <c r="B47" s="427"/>
      <c r="C47" s="427"/>
      <c r="D47" s="427" t="s">
        <v>3418</v>
      </c>
      <c r="E47" s="427"/>
      <c r="F47" s="427"/>
    </row>
    <row r="48" spans="2:13">
      <c r="B48" s="427"/>
      <c r="C48" s="427"/>
      <c r="D48" s="427"/>
      <c r="E48" s="427"/>
      <c r="F48" s="427"/>
    </row>
    <row r="55" spans="2:10" ht="13.8">
      <c r="B55" s="1765" t="s">
        <v>3417</v>
      </c>
      <c r="C55" s="1765"/>
      <c r="D55" s="1765"/>
      <c r="E55" s="1765"/>
      <c r="F55" s="1765"/>
      <c r="G55" s="1765"/>
      <c r="H55" s="1765"/>
      <c r="I55" s="1765"/>
      <c r="J55" s="1765"/>
    </row>
  </sheetData>
  <sheetProtection password="CAF9" sheet="1" objects="1" scenarios="1"/>
  <customSheetViews>
    <customSheetView guid="{AC653BD0-46E3-42CB-9C76-32121A57B65A}">
      <selection activeCell="B14" sqref="B14"/>
      <pageMargins left="0.25" right="0.25" top="0.5" bottom="0.5" header="0.25" footer="0.25"/>
      <pageSetup paperSize="5" orientation="portrait" r:id="rId1"/>
      <headerFooter alignWithMargins="0"/>
    </customSheetView>
    <customSheetView guid="{B165479B-DC25-403C-9595-F1A88A4AA9A2}">
      <selection activeCell="B14" sqref="B14"/>
      <pageMargins left="0.25" right="0.25" top="0.5" bottom="0.5" header="0.25" footer="0.25"/>
      <pageSetup paperSize="5" orientation="portrait" r:id="rId2"/>
      <headerFooter alignWithMargins="0"/>
    </customSheetView>
    <customSheetView guid="{A64E4C9E-A3DA-4AAA-8607-F524450B9436}">
      <selection activeCell="B14" sqref="B14"/>
      <pageMargins left="0.25" right="0.25" top="0.5" bottom="0.5" header="0.25" footer="0.25"/>
      <pageSetup paperSize="5" orientation="portrait" r:id="rId3"/>
      <headerFooter alignWithMargins="0"/>
    </customSheetView>
    <customSheetView guid="{AB4FBD91-4533-473A-9702-569FF6402073}">
      <selection activeCell="B14" sqref="B14"/>
      <pageMargins left="0.25" right="0.25" top="0.5" bottom="0.5" header="0.25" footer="0.25"/>
      <pageSetup paperSize="5" orientation="portrait" r:id="rId4"/>
      <headerFooter alignWithMargins="0"/>
    </customSheetView>
  </customSheetViews>
  <mergeCells count="5">
    <mergeCell ref="B2:J2"/>
    <mergeCell ref="B4:J4"/>
    <mergeCell ref="B5:G6"/>
    <mergeCell ref="B27:J27"/>
    <mergeCell ref="B55:J55"/>
  </mergeCells>
  <pageMargins left="0.25" right="0.25" top="0.5" bottom="0.5" header="0.25" footer="0.25"/>
  <pageSetup paperSize="5" orientation="portrait" r:id="rId5"/>
  <headerFooter alignWithMargins="0"/>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Sheet276">
    <tabColor theme="3" tint="0.79998168889431442"/>
  </sheetPr>
  <dimension ref="B1:T57"/>
  <sheetViews>
    <sheetView zoomScaleNormal="100" zoomScaleSheetLayoutView="80" workbookViewId="0">
      <selection activeCell="J31" sqref="J31"/>
    </sheetView>
  </sheetViews>
  <sheetFormatPr defaultColWidth="8.88671875" defaultRowHeight="13.2"/>
  <cols>
    <col min="1" max="1" width="4.6640625" style="398" customWidth="1"/>
    <col min="2" max="2" width="6.109375" style="398" customWidth="1"/>
    <col min="3" max="3" width="3.33203125" style="398" customWidth="1"/>
    <col min="4" max="4" width="2.6640625" style="398" customWidth="1"/>
    <col min="5" max="5" width="8.88671875" style="398"/>
    <col min="6" max="6" width="5.88671875" style="398" customWidth="1"/>
    <col min="7" max="7" width="8.88671875" style="398"/>
    <col min="8" max="8" width="16" style="398" customWidth="1"/>
    <col min="9" max="9" width="8.88671875" style="398"/>
    <col min="10" max="11" width="16.6640625" style="398" customWidth="1"/>
    <col min="12" max="12" width="8.88671875" style="398"/>
    <col min="13" max="13" width="11.33203125" style="398" customWidth="1"/>
    <col min="14" max="16384" width="8.88671875" style="398"/>
  </cols>
  <sheetData>
    <row r="1" spans="2:20">
      <c r="B1" s="775"/>
      <c r="C1" s="1114"/>
      <c r="D1" s="1114"/>
      <c r="E1" s="1114"/>
      <c r="F1" s="1114"/>
      <c r="G1" s="1114"/>
      <c r="H1" s="1114"/>
      <c r="I1" s="1114"/>
      <c r="J1" s="1114"/>
      <c r="K1" s="1114"/>
    </row>
    <row r="2" spans="2:20">
      <c r="B2" s="1114"/>
      <c r="C2" s="1114"/>
      <c r="D2" s="1114"/>
      <c r="E2" s="1114"/>
      <c r="F2" s="1114"/>
      <c r="G2" s="1114"/>
      <c r="H2" s="1114"/>
      <c r="I2" s="1114"/>
      <c r="J2" s="1114"/>
      <c r="K2" s="1114"/>
    </row>
    <row r="3" spans="2:20" ht="22.8">
      <c r="B3" s="1759" t="str">
        <f>"STATEMENT  OF  "&amp;TEXT('KEY INPUTS'!D34,"0")&amp;"  OPERATION"</f>
        <v>STATEMENT  OF  2019  OPERATION</v>
      </c>
      <c r="C3" s="1759"/>
      <c r="D3" s="1759"/>
      <c r="E3" s="1759"/>
      <c r="F3" s="1759"/>
      <c r="G3" s="1759"/>
      <c r="H3" s="1759"/>
      <c r="I3" s="1759"/>
      <c r="J3" s="1759"/>
      <c r="K3" s="1759"/>
    </row>
    <row r="4" spans="2:20">
      <c r="B4" s="1114"/>
      <c r="C4" s="1114"/>
      <c r="D4" s="1114"/>
      <c r="E4" s="1114"/>
      <c r="F4" s="1114"/>
      <c r="G4" s="1114"/>
      <c r="H4" s="1114"/>
      <c r="I4" s="1114"/>
      <c r="J4" s="1114"/>
      <c r="K4" s="1114"/>
    </row>
    <row r="5" spans="2:20" ht="20.399999999999999">
      <c r="B5" s="1788" t="str">
        <f>UPPER('KEY INPUTS'!D57)&amp;" UTILITY"</f>
        <v xml:space="preserve"> UTILITY</v>
      </c>
      <c r="C5" s="1788"/>
      <c r="D5" s="1788"/>
      <c r="E5" s="1788"/>
      <c r="F5" s="1788"/>
      <c r="G5" s="1788"/>
      <c r="H5" s="1788"/>
      <c r="I5" s="1788"/>
      <c r="J5" s="1788"/>
      <c r="K5" s="1788"/>
    </row>
    <row r="6" spans="2:20">
      <c r="B6" s="1114"/>
      <c r="C6" s="1114"/>
      <c r="D6" s="1114"/>
      <c r="E6" s="1114"/>
      <c r="F6" s="1114"/>
      <c r="G6" s="1114"/>
      <c r="H6" s="1114"/>
      <c r="I6" s="1114"/>
      <c r="J6" s="1114"/>
      <c r="K6" s="1114"/>
    </row>
    <row r="7" spans="2:20">
      <c r="B7" s="1114"/>
      <c r="C7" s="1114"/>
      <c r="D7" s="1114"/>
      <c r="E7" s="1114"/>
      <c r="F7" s="1114"/>
      <c r="G7" s="1114"/>
      <c r="H7" s="1114"/>
      <c r="I7" s="1114"/>
      <c r="J7" s="1114"/>
      <c r="K7" s="1114"/>
    </row>
    <row r="8" spans="2:20">
      <c r="B8" s="1114" t="s">
        <v>408</v>
      </c>
      <c r="C8" s="1189" t="str">
        <f>"Section 1 of this sheet is required to be filled out ONLY IF the "&amp;TEXT('KEY INPUTS'!D34,"0")&amp;" "&amp;PROPER('KEY INPUTS'!D57)&amp;" Utility Budget contained"</f>
        <v>Section 1 of this sheet is required to be filled out ONLY IF the 2019  Utility Budget contained</v>
      </c>
      <c r="D8" s="1114"/>
      <c r="E8" s="1114"/>
      <c r="F8" s="1114"/>
      <c r="G8" s="1114"/>
      <c r="H8" s="1114"/>
      <c r="I8" s="1114"/>
      <c r="J8" s="1114"/>
      <c r="K8" s="1114"/>
    </row>
    <row r="9" spans="2:20">
      <c r="B9" s="1114"/>
      <c r="C9" s="1114" t="s">
        <v>435</v>
      </c>
      <c r="D9" s="1114"/>
      <c r="E9" s="1114"/>
      <c r="F9" s="1114"/>
      <c r="G9" s="1114"/>
      <c r="H9" s="1114"/>
      <c r="I9" s="1114"/>
      <c r="J9" s="1114"/>
      <c r="K9" s="1114"/>
    </row>
    <row r="10" spans="2:20">
      <c r="B10" s="1114"/>
      <c r="C10" s="1114" t="s">
        <v>436</v>
      </c>
      <c r="D10" s="1114"/>
      <c r="E10" s="1114"/>
      <c r="F10" s="1114"/>
      <c r="G10" s="1114"/>
      <c r="H10" s="1114"/>
      <c r="I10" s="1114"/>
      <c r="J10" s="1114"/>
      <c r="K10" s="1114"/>
    </row>
    <row r="11" spans="2:20">
      <c r="B11" s="1114"/>
      <c r="C11" s="1167" t="s">
        <v>3437</v>
      </c>
      <c r="D11" s="1114"/>
      <c r="E11" s="1114"/>
      <c r="F11" s="1114"/>
      <c r="G11" s="1114"/>
      <c r="H11" s="1114"/>
      <c r="I11" s="1114"/>
      <c r="J11" s="1114"/>
      <c r="K11" s="1114"/>
    </row>
    <row r="12" spans="2:20">
      <c r="B12" s="1114"/>
      <c r="C12" s="1114"/>
      <c r="D12" s="1114"/>
      <c r="E12" s="1114"/>
      <c r="F12" s="1114"/>
      <c r="G12" s="1114"/>
      <c r="H12" s="1114"/>
      <c r="I12" s="1114"/>
      <c r="J12" s="1114"/>
      <c r="K12" s="1114"/>
    </row>
    <row r="13" spans="2:20" ht="17.399999999999999">
      <c r="B13" s="1168" t="s">
        <v>437</v>
      </c>
      <c r="C13" s="1114"/>
      <c r="D13" s="1114"/>
      <c r="E13" s="1114"/>
      <c r="F13" s="1114"/>
      <c r="G13" s="1114"/>
      <c r="H13" s="1114"/>
      <c r="I13" s="1114"/>
      <c r="J13" s="1114"/>
      <c r="K13" s="1114"/>
    </row>
    <row r="14" spans="2:20" ht="13.8" thickBot="1">
      <c r="B14" s="1169"/>
      <c r="C14" s="1169"/>
      <c r="D14" s="1169"/>
      <c r="E14" s="1169"/>
      <c r="F14" s="1169"/>
      <c r="G14" s="1169"/>
      <c r="H14" s="1169"/>
      <c r="I14" s="1169"/>
      <c r="J14" s="1169"/>
      <c r="K14" s="1169"/>
    </row>
    <row r="15" spans="2:20" ht="21" customHeight="1" thickTop="1">
      <c r="B15" s="1170" t="s">
        <v>438</v>
      </c>
      <c r="C15" s="1170"/>
      <c r="D15" s="1170"/>
      <c r="E15" s="1170"/>
      <c r="F15" s="1170"/>
      <c r="G15" s="1170"/>
      <c r="H15" s="1170"/>
      <c r="I15" s="1170"/>
      <c r="J15" s="1171" t="s">
        <v>787</v>
      </c>
      <c r="K15" s="841"/>
      <c r="N15" s="322"/>
      <c r="O15" s="322"/>
      <c r="P15" s="322"/>
      <c r="Q15" s="322"/>
      <c r="R15" s="322"/>
      <c r="S15" s="322"/>
      <c r="T15" s="322"/>
    </row>
    <row r="16" spans="2:20" ht="21" customHeight="1">
      <c r="B16" s="690"/>
      <c r="C16" s="690" t="s">
        <v>439</v>
      </c>
      <c r="D16" s="690"/>
      <c r="E16" s="690"/>
      <c r="F16" s="690"/>
      <c r="G16" s="690"/>
      <c r="H16" s="690"/>
      <c r="I16" s="690"/>
      <c r="J16" s="842">
        <f>+'44-Utility6'!I20</f>
        <v>0</v>
      </c>
      <c r="K16" s="841"/>
      <c r="N16" s="322"/>
      <c r="O16" s="322"/>
      <c r="P16" s="322"/>
      <c r="Q16" s="322"/>
      <c r="R16" s="322"/>
      <c r="S16" s="322"/>
      <c r="T16" s="322"/>
    </row>
    <row r="17" spans="2:20" ht="21" customHeight="1">
      <c r="B17" s="690"/>
      <c r="C17" s="690" t="s">
        <v>440</v>
      </c>
      <c r="D17" s="690"/>
      <c r="E17" s="690"/>
      <c r="F17" s="690"/>
      <c r="G17" s="690"/>
      <c r="H17" s="690"/>
      <c r="I17" s="690"/>
      <c r="J17" s="575"/>
      <c r="K17" s="841"/>
      <c r="N17" s="377"/>
      <c r="O17" s="322"/>
      <c r="P17" s="322"/>
      <c r="Q17" s="322"/>
      <c r="R17" s="322"/>
      <c r="S17" s="322"/>
      <c r="T17" s="322"/>
    </row>
    <row r="18" spans="2:20" ht="21" customHeight="1">
      <c r="B18" s="690"/>
      <c r="C18" s="914" t="str">
        <f>TEXT('KEY INPUTS'!D35,"0")&amp;" Appropriation Reserves Canceled in "&amp;TEXT('KEY INPUTS'!D34,0)</f>
        <v>2018 Appropriation Reserves Canceled in 2019</v>
      </c>
      <c r="D18" s="1172"/>
      <c r="E18" s="1172"/>
      <c r="F18" s="1172"/>
      <c r="G18" s="1172"/>
      <c r="H18" s="690"/>
      <c r="I18" s="690"/>
      <c r="J18" s="1029">
        <f>J48</f>
        <v>0</v>
      </c>
      <c r="K18" s="841"/>
      <c r="N18" s="322"/>
      <c r="O18" s="322"/>
      <c r="P18" s="322"/>
      <c r="Q18" s="322"/>
      <c r="R18" s="322"/>
      <c r="S18" s="322"/>
      <c r="T18" s="322"/>
    </row>
    <row r="19" spans="2:20" ht="21" customHeight="1">
      <c r="B19" s="690"/>
      <c r="C19" s="648"/>
      <c r="D19" s="648"/>
      <c r="E19" s="648"/>
      <c r="F19" s="648"/>
      <c r="G19" s="648"/>
      <c r="H19" s="648"/>
      <c r="I19" s="648"/>
      <c r="J19" s="374"/>
      <c r="K19" s="841"/>
      <c r="N19" s="322"/>
      <c r="O19" s="322"/>
      <c r="P19" s="322"/>
      <c r="Q19" s="322"/>
      <c r="R19" s="322"/>
      <c r="S19" s="322"/>
      <c r="T19" s="322"/>
    </row>
    <row r="20" spans="2:20" ht="21" customHeight="1">
      <c r="B20" s="690"/>
      <c r="C20" s="648"/>
      <c r="D20" s="648"/>
      <c r="E20" s="648"/>
      <c r="F20" s="648"/>
      <c r="G20" s="648"/>
      <c r="H20" s="648"/>
      <c r="I20" s="648"/>
      <c r="J20" s="374"/>
      <c r="K20" s="841"/>
      <c r="N20" s="322"/>
      <c r="O20" s="322"/>
      <c r="P20" s="322"/>
      <c r="Q20" s="322"/>
      <c r="R20" s="322"/>
      <c r="S20" s="322"/>
      <c r="T20" s="322"/>
    </row>
    <row r="21" spans="2:20" ht="21" customHeight="1">
      <c r="B21" s="690"/>
      <c r="C21" s="690" t="s">
        <v>441</v>
      </c>
      <c r="D21" s="690"/>
      <c r="E21" s="690"/>
      <c r="F21" s="690"/>
      <c r="G21" s="690"/>
      <c r="H21" s="690"/>
      <c r="I21" s="690"/>
      <c r="J21" s="575"/>
      <c r="K21" s="851">
        <f>SUM(J16:J20)</f>
        <v>0</v>
      </c>
      <c r="N21" s="322"/>
      <c r="O21" s="322"/>
      <c r="P21" s="322"/>
      <c r="Q21" s="322"/>
      <c r="R21" s="322"/>
      <c r="S21" s="322"/>
      <c r="T21" s="322"/>
    </row>
    <row r="22" spans="2:20" ht="21" customHeight="1">
      <c r="B22" s="690" t="s">
        <v>442</v>
      </c>
      <c r="C22" s="690"/>
      <c r="D22" s="690"/>
      <c r="E22" s="690"/>
      <c r="F22" s="690"/>
      <c r="G22" s="690"/>
      <c r="H22" s="690"/>
      <c r="I22" s="690"/>
      <c r="J22" s="1174" t="s">
        <v>787</v>
      </c>
      <c r="K22" s="841"/>
      <c r="N22" s="322"/>
      <c r="O22" s="322"/>
      <c r="P22" s="322"/>
      <c r="Q22" s="322"/>
      <c r="R22" s="322"/>
      <c r="S22" s="322"/>
      <c r="T22" s="322"/>
    </row>
    <row r="23" spans="2:20" ht="21" customHeight="1">
      <c r="B23" s="690"/>
      <c r="C23" s="690" t="s">
        <v>443</v>
      </c>
      <c r="D23" s="690"/>
      <c r="E23" s="690"/>
      <c r="F23" s="690"/>
      <c r="G23" s="690"/>
      <c r="H23" s="690"/>
      <c r="I23" s="690"/>
      <c r="J23" s="1174" t="s">
        <v>787</v>
      </c>
      <c r="K23" s="841"/>
      <c r="N23" s="322"/>
      <c r="O23" s="322"/>
      <c r="P23" s="322"/>
      <c r="Q23" s="322"/>
      <c r="R23" s="322"/>
      <c r="S23" s="322"/>
      <c r="T23" s="322"/>
    </row>
    <row r="24" spans="2:20" ht="21" customHeight="1">
      <c r="B24" s="690"/>
      <c r="C24" s="690"/>
      <c r="D24" s="690" t="s">
        <v>753</v>
      </c>
      <c r="E24" s="690"/>
      <c r="F24" s="690"/>
      <c r="G24" s="690"/>
      <c r="H24" s="690"/>
      <c r="I24" s="690"/>
      <c r="J24" s="842">
        <f>+'44-Utility6'!I36</f>
        <v>0</v>
      </c>
      <c r="K24" s="841"/>
      <c r="N24" s="322"/>
      <c r="O24" s="322"/>
      <c r="P24" s="322"/>
      <c r="Q24" s="322"/>
      <c r="R24" s="322"/>
      <c r="S24" s="322"/>
      <c r="T24" s="322"/>
    </row>
    <row r="25" spans="2:20" ht="21" customHeight="1">
      <c r="B25" s="690"/>
      <c r="C25" s="690"/>
      <c r="D25" s="690" t="s">
        <v>920</v>
      </c>
      <c r="E25" s="690"/>
      <c r="F25" s="690"/>
      <c r="G25" s="690"/>
      <c r="H25" s="690"/>
      <c r="I25" s="690"/>
      <c r="J25" s="842">
        <f>+'44-Utility6'!I37</f>
        <v>0</v>
      </c>
      <c r="K25" s="841"/>
      <c r="N25" s="322"/>
      <c r="O25" s="322"/>
      <c r="P25" s="322"/>
      <c r="Q25" s="322"/>
      <c r="R25" s="322"/>
      <c r="S25" s="322"/>
      <c r="T25" s="322"/>
    </row>
    <row r="26" spans="2:20" ht="21" customHeight="1">
      <c r="B26" s="690"/>
      <c r="C26" s="690" t="s">
        <v>444</v>
      </c>
      <c r="D26" s="690"/>
      <c r="E26" s="690"/>
      <c r="F26" s="690"/>
      <c r="G26" s="690"/>
      <c r="H26" s="690"/>
      <c r="I26" s="690"/>
      <c r="J26" s="575"/>
      <c r="K26" s="841"/>
      <c r="N26" s="322"/>
      <c r="O26" s="322"/>
      <c r="P26" s="322"/>
      <c r="Q26" s="322"/>
      <c r="R26" s="322"/>
      <c r="S26" s="322"/>
      <c r="T26" s="322"/>
    </row>
    <row r="27" spans="2:20" ht="21" customHeight="1">
      <c r="B27" s="690"/>
      <c r="C27" s="690" t="s">
        <v>445</v>
      </c>
      <c r="D27" s="690"/>
      <c r="E27" s="690"/>
      <c r="F27" s="690"/>
      <c r="G27" s="690"/>
      <c r="H27" s="690"/>
      <c r="I27" s="690"/>
      <c r="J27" s="575"/>
      <c r="K27" s="841"/>
      <c r="N27" s="322"/>
      <c r="O27" s="322"/>
      <c r="P27" s="322"/>
      <c r="Q27" s="322"/>
      <c r="R27" s="322"/>
      <c r="S27" s="322"/>
      <c r="T27" s="322"/>
    </row>
    <row r="28" spans="2:20" ht="21" customHeight="1" thickBot="1">
      <c r="B28" s="690"/>
      <c r="C28" s="648"/>
      <c r="D28" s="648"/>
      <c r="E28" s="648"/>
      <c r="F28" s="648"/>
      <c r="G28" s="648"/>
      <c r="H28" s="648"/>
      <c r="I28" s="648"/>
      <c r="J28" s="1022"/>
      <c r="K28" s="841"/>
      <c r="N28" s="322"/>
      <c r="O28" s="322"/>
      <c r="P28" s="322"/>
      <c r="Q28" s="322"/>
      <c r="R28" s="322"/>
      <c r="S28" s="322"/>
      <c r="T28" s="322"/>
    </row>
    <row r="29" spans="2:20" ht="21" customHeight="1">
      <c r="B29" s="690"/>
      <c r="C29" s="690"/>
      <c r="D29" s="690"/>
      <c r="E29" s="690"/>
      <c r="F29" s="690" t="s">
        <v>921</v>
      </c>
      <c r="G29" s="690"/>
      <c r="H29" s="690"/>
      <c r="I29" s="690"/>
      <c r="J29" s="848">
        <f>SUM(J24:J28)</f>
        <v>0</v>
      </c>
      <c r="K29" s="841"/>
      <c r="N29" s="322"/>
      <c r="O29" s="322"/>
      <c r="P29" s="322"/>
      <c r="Q29" s="322"/>
      <c r="R29" s="322"/>
      <c r="S29" s="322"/>
      <c r="T29" s="322"/>
    </row>
    <row r="30" spans="2:20" ht="11.25" customHeight="1">
      <c r="B30" s="1114"/>
      <c r="C30" s="1114"/>
      <c r="D30" s="1114"/>
      <c r="E30" s="1114"/>
      <c r="F30" s="1114" t="s">
        <v>949</v>
      </c>
      <c r="G30" s="1114" t="s">
        <v>950</v>
      </c>
      <c r="H30" s="1114"/>
      <c r="I30" s="1114"/>
      <c r="J30" s="1177"/>
      <c r="K30" s="841"/>
      <c r="N30" s="322"/>
      <c r="O30" s="322"/>
      <c r="P30" s="322"/>
      <c r="Q30" s="322"/>
      <c r="R30" s="322"/>
      <c r="S30" s="322"/>
      <c r="T30" s="322"/>
    </row>
    <row r="31" spans="2:20" ht="13.5" customHeight="1">
      <c r="B31" s="1128"/>
      <c r="C31" s="1128"/>
      <c r="D31" s="1128"/>
      <c r="E31" s="1128"/>
      <c r="F31" s="1128"/>
      <c r="G31" s="1128" t="s">
        <v>951</v>
      </c>
      <c r="H31" s="1128"/>
      <c r="I31" s="1178"/>
      <c r="J31" s="1489"/>
      <c r="K31" s="1175"/>
      <c r="N31" s="322"/>
      <c r="O31" s="322"/>
      <c r="P31" s="322"/>
      <c r="Q31" s="322"/>
      <c r="R31" s="322"/>
      <c r="S31" s="322"/>
      <c r="T31" s="322"/>
    </row>
    <row r="32" spans="2:20" ht="21" customHeight="1" thickBot="1">
      <c r="B32" s="1180"/>
      <c r="C32" s="1180"/>
      <c r="D32" s="1180" t="s">
        <v>952</v>
      </c>
      <c r="E32" s="1180"/>
      <c r="F32" s="1180"/>
      <c r="G32" s="1180"/>
      <c r="H32" s="1180"/>
      <c r="I32" s="1180"/>
      <c r="J32" s="1181"/>
      <c r="K32" s="1176">
        <f>+J29-J31</f>
        <v>0</v>
      </c>
    </row>
    <row r="33" spans="2:15" ht="21" customHeight="1" thickTop="1" thickBot="1">
      <c r="B33" s="1182" t="s">
        <v>953</v>
      </c>
      <c r="C33" s="1182"/>
      <c r="D33" s="1182"/>
      <c r="E33" s="1182"/>
      <c r="F33" s="1182"/>
      <c r="G33" s="1182"/>
      <c r="H33" s="1182"/>
      <c r="I33" s="1182"/>
      <c r="J33" s="1183"/>
      <c r="K33" s="1184">
        <f>IF(M33&gt;0,M33,0)</f>
        <v>0</v>
      </c>
      <c r="M33" s="399">
        <f>+K21-K32</f>
        <v>0</v>
      </c>
      <c r="N33" s="710" t="s">
        <v>3666</v>
      </c>
    </row>
    <row r="34" spans="2:15" ht="21" customHeight="1">
      <c r="B34" s="690" t="s">
        <v>954</v>
      </c>
      <c r="C34" s="690"/>
      <c r="D34" s="690"/>
      <c r="E34" s="690"/>
      <c r="F34" s="690"/>
      <c r="G34" s="690"/>
      <c r="H34" s="690"/>
      <c r="I34" s="690"/>
      <c r="J34" s="575"/>
      <c r="K34" s="841"/>
    </row>
    <row r="35" spans="2:15" ht="11.25" customHeight="1">
      <c r="B35" s="1800" t="s">
        <v>955</v>
      </c>
      <c r="C35" s="1800"/>
      <c r="D35" s="1800"/>
      <c r="E35" s="1189" t="str">
        <f>"Balance of Results of "&amp;TEXT('KEY INPUTS'!D34,"0")&amp;" Operation"</f>
        <v>Balance of Results of 2019 Operation</v>
      </c>
      <c r="F35" s="1114"/>
      <c r="G35" s="1114"/>
      <c r="H35" s="1114"/>
      <c r="I35" s="1114"/>
      <c r="J35" s="1177"/>
      <c r="K35" s="841"/>
    </row>
    <row r="36" spans="2:15" ht="12.75" customHeight="1" thickBot="1">
      <c r="B36" s="1801"/>
      <c r="C36" s="1801"/>
      <c r="D36" s="1801"/>
      <c r="E36" s="1128" t="s">
        <v>3782</v>
      </c>
      <c r="F36" s="1128"/>
      <c r="G36" s="1128"/>
      <c r="H36" s="1128"/>
      <c r="I36" s="1128"/>
      <c r="J36" s="1179">
        <f>+K33-J34</f>
        <v>0</v>
      </c>
      <c r="K36" s="841"/>
    </row>
    <row r="37" spans="2:15" ht="21" customHeight="1" thickBot="1">
      <c r="B37" s="1190"/>
      <c r="C37" s="1190"/>
      <c r="D37" s="1190"/>
      <c r="E37" s="1190"/>
      <c r="F37" s="1190"/>
      <c r="G37" s="1190"/>
      <c r="H37" s="1190"/>
      <c r="I37" s="1190"/>
      <c r="J37" s="1193"/>
      <c r="K37" s="1185"/>
    </row>
    <row r="38" spans="2:15" ht="21" customHeight="1" thickBot="1">
      <c r="B38" s="1191" t="s">
        <v>956</v>
      </c>
      <c r="C38" s="1191"/>
      <c r="D38" s="1191"/>
      <c r="E38" s="1191"/>
      <c r="F38" s="1191"/>
      <c r="G38" s="1191"/>
      <c r="H38" s="1191"/>
      <c r="I38" s="1191"/>
      <c r="J38" s="1194"/>
      <c r="K38" s="1186">
        <f>IF(+M33&gt;0,0,+M33*-1)</f>
        <v>0</v>
      </c>
    </row>
    <row r="39" spans="2:15" ht="21" customHeight="1">
      <c r="B39" s="690" t="s">
        <v>957</v>
      </c>
      <c r="C39" s="690"/>
      <c r="D39" s="690"/>
      <c r="E39" s="690"/>
      <c r="F39" s="690"/>
      <c r="G39" s="690"/>
      <c r="H39" s="690"/>
      <c r="I39" s="690"/>
      <c r="J39" s="1194">
        <f>+'44-Utility6'!I21</f>
        <v>0</v>
      </c>
      <c r="K39" s="841"/>
    </row>
    <row r="40" spans="2:15">
      <c r="B40" s="1802" t="s">
        <v>955</v>
      </c>
      <c r="C40" s="1802"/>
      <c r="D40" s="1802"/>
      <c r="E40" s="1189" t="str">
        <f>"Balance of Results of "&amp;TEXT('KEY INPUTS'!D34,"0")&amp;" Operation"</f>
        <v>Balance of Results of 2019 Operation</v>
      </c>
      <c r="F40" s="1192"/>
      <c r="G40" s="1192"/>
      <c r="H40" s="1192"/>
      <c r="I40" s="1192"/>
      <c r="J40" s="1177"/>
      <c r="K40" s="1187"/>
    </row>
    <row r="41" spans="2:15" ht="13.8" thickBot="1">
      <c r="B41" s="1803"/>
      <c r="C41" s="1803"/>
      <c r="D41" s="1803"/>
      <c r="E41" s="1169" t="s">
        <v>3436</v>
      </c>
      <c r="F41" s="1169"/>
      <c r="G41" s="1169"/>
      <c r="H41" s="1169"/>
      <c r="I41" s="1169"/>
      <c r="J41" s="1195">
        <f>+K38-J39</f>
        <v>0</v>
      </c>
      <c r="K41" s="1188"/>
      <c r="L41" s="739"/>
      <c r="O41" s="399"/>
    </row>
    <row r="42" spans="2:15" ht="13.8" thickTop="1">
      <c r="J42" s="464"/>
      <c r="K42" s="464"/>
    </row>
    <row r="43" spans="2:15" ht="17.399999999999999">
      <c r="B43" s="1168" t="s">
        <v>958</v>
      </c>
      <c r="C43" s="1114"/>
      <c r="D43" s="1114"/>
      <c r="E43" s="1114"/>
      <c r="F43" s="1114"/>
      <c r="G43" s="1114"/>
      <c r="H43" s="1114"/>
      <c r="I43" s="1114"/>
      <c r="J43" s="841"/>
      <c r="K43" s="841"/>
    </row>
    <row r="44" spans="2:15">
      <c r="B44" s="1189" t="str">
        <f>"The following Item of '"&amp;TEXT('KEY INPUTS'!D35,"0")&amp;" Appropriation Reserves Canceled in "&amp;TEXT('KEY INPUTS'!D34,"0")&amp;"' ""is Due to the Current Fund TO THE"</f>
        <v>The following Item of '2018 Appropriation Reserves Canceled in 2019' "is Due to the Current Fund TO THE</v>
      </c>
      <c r="C44" s="1114"/>
      <c r="D44" s="1114"/>
      <c r="E44" s="1114"/>
      <c r="F44" s="1114"/>
      <c r="G44" s="1114"/>
      <c r="H44" s="1114"/>
      <c r="I44" s="1114"/>
      <c r="J44" s="841"/>
      <c r="K44" s="841"/>
    </row>
    <row r="45" spans="2:15">
      <c r="B45" s="1189" t="str">
        <f>"EXTENT OF the amount received and Due from the General Budget of "&amp;TEXT('KEY INPUTS'!D34,"0")&amp;" for an Anticipated Deficit in the"</f>
        <v>EXTENT OF the amount received and Due from the General Budget of 2019 for an Anticipated Deficit in the</v>
      </c>
      <c r="C45" s="1114"/>
      <c r="D45" s="1114"/>
      <c r="E45" s="1114"/>
      <c r="F45" s="1114"/>
      <c r="G45" s="1114"/>
      <c r="H45" s="1114"/>
      <c r="I45" s="1114"/>
      <c r="J45" s="841"/>
      <c r="K45" s="841"/>
    </row>
    <row r="46" spans="2:15">
      <c r="B46" s="1189" t="str">
        <f>PROPER('KEY INPUTS'!D57)&amp;" Utility for "&amp;TEXT('KEY INPUTS'!D34,"0")&amp;""</f>
        <v xml:space="preserve"> Utility for 2019</v>
      </c>
      <c r="C46" s="1114"/>
      <c r="D46" s="1114"/>
      <c r="E46" s="1114"/>
      <c r="F46" s="1114"/>
      <c r="G46" s="1114"/>
      <c r="H46" s="1114"/>
      <c r="I46" s="1114"/>
      <c r="J46" s="841"/>
      <c r="K46" s="841"/>
      <c r="O46" s="322"/>
    </row>
    <row r="47" spans="2:15">
      <c r="B47" s="1114"/>
      <c r="C47" s="1114"/>
      <c r="D47" s="1114"/>
      <c r="E47" s="1114"/>
      <c r="F47" s="1114"/>
      <c r="G47" s="1114"/>
      <c r="H47" s="1114"/>
      <c r="I47" s="1114"/>
      <c r="J47" s="841"/>
      <c r="K47" s="841"/>
      <c r="O47" s="322"/>
    </row>
    <row r="48" spans="2:15" ht="21" customHeight="1">
      <c r="B48" s="914" t="str">
        <f>TEXT('KEY INPUTS'!D35,"0")&amp;" Appropriation Reserves Canceled in "&amp;TEXT('KEY INPUTS'!D34,0)</f>
        <v>2018 Appropriation Reserves Canceled in 2019</v>
      </c>
      <c r="C48" s="690"/>
      <c r="D48" s="690"/>
      <c r="E48" s="690"/>
      <c r="F48" s="690"/>
      <c r="G48" s="690"/>
      <c r="H48" s="690"/>
      <c r="I48" s="690"/>
      <c r="J48" s="374"/>
      <c r="K48" s="841"/>
      <c r="O48" s="322"/>
    </row>
    <row r="49" spans="2:15" ht="24" customHeight="1">
      <c r="B49" s="690"/>
      <c r="C49" s="1196" t="s">
        <v>949</v>
      </c>
      <c r="D49" s="690"/>
      <c r="E49" s="1798" t="str">
        <f>"Anticipated Deficit in "&amp;TEXT('KEY INPUTS'!D34,"0")&amp;" Budget - Amount Received and Due from Current Fund - If none, enter 'None '"""</f>
        <v>Anticipated Deficit in 2019 Budget - Amount Received and Due from Current Fund - If none, enter 'None '"</v>
      </c>
      <c r="F49" s="1798"/>
      <c r="G49" s="1798"/>
      <c r="H49" s="1798"/>
      <c r="I49" s="1799"/>
      <c r="J49" s="575"/>
      <c r="K49" s="841"/>
      <c r="O49" s="322"/>
    </row>
    <row r="50" spans="2:15" ht="21" customHeight="1">
      <c r="B50" s="690" t="s">
        <v>959</v>
      </c>
      <c r="C50" s="690"/>
      <c r="D50" s="690"/>
      <c r="E50" s="690"/>
      <c r="F50" s="690"/>
      <c r="G50" s="690"/>
      <c r="H50" s="690"/>
      <c r="I50" s="690"/>
      <c r="J50" s="663"/>
      <c r="K50" s="851">
        <f>+J48-J49</f>
        <v>0</v>
      </c>
    </row>
    <row r="52" spans="2:15">
      <c r="B52" s="463" t="s">
        <v>3435</v>
      </c>
    </row>
    <row r="53" spans="2:15">
      <c r="B53" s="463"/>
    </row>
    <row r="54" spans="2:15">
      <c r="B54" s="463"/>
    </row>
    <row r="55" spans="2:15">
      <c r="B55" s="463"/>
    </row>
    <row r="56" spans="2:15">
      <c r="B56" s="463"/>
    </row>
    <row r="57" spans="2:15" ht="13.8">
      <c r="B57" s="1765" t="s">
        <v>3434</v>
      </c>
      <c r="C57" s="1765"/>
      <c r="D57" s="1765"/>
      <c r="E57" s="1765"/>
      <c r="F57" s="1765"/>
      <c r="G57" s="1765"/>
      <c r="H57" s="1765"/>
      <c r="I57" s="1765"/>
      <c r="J57" s="1765"/>
      <c r="K57" s="1765"/>
    </row>
  </sheetData>
  <sheetProtection password="CAF9" sheet="1" objects="1" scenarios="1"/>
  <customSheetViews>
    <customSheetView guid="{AC653BD0-46E3-42CB-9C76-32121A57B65A}">
      <selection activeCell="J31" sqref="J31"/>
      <pageMargins left="0.25" right="0.25" top="0.5" bottom="0.5" header="0.25" footer="0.25"/>
      <pageSetup paperSize="5" orientation="portrait" r:id="rId1"/>
      <headerFooter alignWithMargins="0"/>
    </customSheetView>
    <customSheetView guid="{B165479B-DC25-403C-9595-F1A88A4AA9A2}">
      <selection activeCell="J31" sqref="J31"/>
      <pageMargins left="0.25" right="0.25" top="0.5" bottom="0.5" header="0.25" footer="0.25"/>
      <pageSetup paperSize="5" orientation="portrait" r:id="rId2"/>
      <headerFooter alignWithMargins="0"/>
    </customSheetView>
    <customSheetView guid="{A64E4C9E-A3DA-4AAA-8607-F524450B9436}">
      <selection activeCell="J31" sqref="J31"/>
      <pageMargins left="0.25" right="0.25" top="0.5" bottom="0.5" header="0.25" footer="0.25"/>
      <pageSetup paperSize="5" orientation="portrait" r:id="rId3"/>
      <headerFooter alignWithMargins="0"/>
    </customSheetView>
    <customSheetView guid="{AB4FBD91-4533-473A-9702-569FF6402073}">
      <selection activeCell="J31" sqref="J31"/>
      <pageMargins left="0.25" right="0.25" top="0.5" bottom="0.5" header="0.25" footer="0.25"/>
      <pageSetup paperSize="5" orientation="portrait" r:id="rId4"/>
      <headerFooter alignWithMargins="0"/>
    </customSheetView>
  </customSheetViews>
  <mergeCells count="6">
    <mergeCell ref="B57:K57"/>
    <mergeCell ref="B3:K3"/>
    <mergeCell ref="B5:K5"/>
    <mergeCell ref="B35:D36"/>
    <mergeCell ref="B40:D41"/>
    <mergeCell ref="E49:I49"/>
  </mergeCells>
  <pageMargins left="0.25" right="0.25" top="0.5" bottom="0.5" header="0.25" footer="0.25"/>
  <pageSetup paperSize="5" orientation="portrait" r:id="rId5"/>
  <headerFooter alignWithMargins="0"/>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Sheet277">
    <tabColor theme="3" tint="0.79998168889431442"/>
  </sheetPr>
  <dimension ref="B2:Z52"/>
  <sheetViews>
    <sheetView zoomScaleNormal="100" zoomScaleSheetLayoutView="80" workbookViewId="0">
      <selection activeCell="B1" sqref="B1"/>
    </sheetView>
  </sheetViews>
  <sheetFormatPr defaultColWidth="8.88671875" defaultRowHeight="13.2"/>
  <cols>
    <col min="1" max="5" width="4.6640625" style="398" customWidth="1"/>
    <col min="6" max="8" width="8.88671875" style="398"/>
    <col min="9" max="9" width="6.33203125" style="398" customWidth="1"/>
    <col min="10" max="10" width="8.88671875" style="398"/>
    <col min="11" max="12" width="16.6640625" style="398" customWidth="1"/>
    <col min="13" max="13" width="13.5546875" style="398" bestFit="1" customWidth="1"/>
    <col min="14" max="14" width="11.88671875" style="398" bestFit="1" customWidth="1"/>
    <col min="15" max="16384" width="8.88671875" style="398"/>
  </cols>
  <sheetData>
    <row r="2" spans="2:26" ht="20.399999999999999">
      <c r="B2" s="1788" t="str">
        <f>"RESULTS  OF  "&amp;TEXT('KEY INPUTS'!D34,"0")&amp;"  OPERATIONS  - "&amp;UPPER('KEY INPUTS'!D57)&amp;" UTILITY"</f>
        <v>RESULTS  OF  2019  OPERATIONS  -  UTILITY</v>
      </c>
      <c r="C2" s="1788"/>
      <c r="D2" s="1788"/>
      <c r="E2" s="1788"/>
      <c r="F2" s="1788"/>
      <c r="G2" s="1788"/>
      <c r="H2" s="1788"/>
      <c r="I2" s="1788"/>
      <c r="J2" s="1788"/>
      <c r="K2" s="1788"/>
      <c r="L2" s="1788"/>
    </row>
    <row r="3" spans="2:26" ht="13.8" thickBot="1">
      <c r="B3" s="1114"/>
      <c r="C3" s="1114"/>
      <c r="D3" s="1114"/>
      <c r="E3" s="1114"/>
      <c r="F3" s="1114"/>
      <c r="G3" s="1114"/>
      <c r="H3" s="1114"/>
      <c r="I3" s="1114"/>
      <c r="J3" s="1114"/>
      <c r="K3" s="1114"/>
      <c r="L3" s="1114"/>
    </row>
    <row r="4" spans="2:26" ht="21" customHeight="1" thickTop="1" thickBot="1">
      <c r="B4" s="1333"/>
      <c r="C4" s="1333"/>
      <c r="D4" s="1333"/>
      <c r="E4" s="1333"/>
      <c r="F4" s="1333"/>
      <c r="G4" s="1333"/>
      <c r="H4" s="1333"/>
      <c r="I4" s="1333"/>
      <c r="J4" s="1333"/>
      <c r="K4" s="1115" t="s">
        <v>125</v>
      </c>
      <c r="L4" s="1116" t="s">
        <v>126</v>
      </c>
    </row>
    <row r="5" spans="2:26" ht="21" customHeight="1" thickTop="1">
      <c r="B5" s="1210" t="s">
        <v>270</v>
      </c>
      <c r="C5" s="1170"/>
      <c r="D5" s="1170"/>
      <c r="E5" s="1170"/>
      <c r="F5" s="1170"/>
      <c r="G5" s="1170"/>
      <c r="H5" s="1170"/>
      <c r="I5" s="1170"/>
      <c r="J5" s="1170"/>
      <c r="K5" s="1202" t="s">
        <v>787</v>
      </c>
      <c r="L5" s="639">
        <f>IF(+'44-Utility6'!J20&gt;0,+'44-Utility6'!J22,0)</f>
        <v>0</v>
      </c>
      <c r="N5" s="322"/>
      <c r="O5" s="322"/>
      <c r="P5" s="322"/>
      <c r="Q5" s="322"/>
      <c r="R5" s="322"/>
      <c r="S5" s="322"/>
      <c r="T5" s="322"/>
    </row>
    <row r="6" spans="2:26" ht="21" customHeight="1">
      <c r="B6" s="696" t="s">
        <v>271</v>
      </c>
      <c r="C6" s="690"/>
      <c r="D6" s="690"/>
      <c r="E6" s="690"/>
      <c r="F6" s="690"/>
      <c r="G6" s="690"/>
      <c r="H6" s="690"/>
      <c r="I6" s="690"/>
      <c r="J6" s="690"/>
      <c r="K6" s="1204" t="s">
        <v>787</v>
      </c>
      <c r="L6" s="1124">
        <f>+'44-Utility6'!J40</f>
        <v>0</v>
      </c>
      <c r="M6" s="739"/>
      <c r="N6" s="322"/>
      <c r="O6" s="322"/>
      <c r="P6" s="322"/>
      <c r="Q6" s="322"/>
      <c r="R6" s="322"/>
      <c r="S6" s="322"/>
      <c r="T6" s="322"/>
    </row>
    <row r="7" spans="2:26" ht="21" customHeight="1">
      <c r="B7" s="696" t="s">
        <v>272</v>
      </c>
      <c r="C7" s="690"/>
      <c r="D7" s="690"/>
      <c r="E7" s="690"/>
      <c r="F7" s="690"/>
      <c r="G7" s="690"/>
      <c r="H7" s="690"/>
      <c r="I7" s="690"/>
      <c r="J7" s="690"/>
      <c r="K7" s="1204" t="s">
        <v>787</v>
      </c>
      <c r="L7" s="1124">
        <f>'45-Utility6'!J17</f>
        <v>0</v>
      </c>
      <c r="N7" s="377"/>
      <c r="O7" s="322"/>
      <c r="P7" s="322"/>
      <c r="Q7" s="322"/>
      <c r="R7" s="322"/>
      <c r="S7" s="322"/>
      <c r="T7" s="322"/>
    </row>
    <row r="8" spans="2:26" ht="21" customHeight="1">
      <c r="B8" s="1114" t="str">
        <f>"Unexpended Balances of "&amp;TEXT('KEY INPUTS'!D35,"0")&amp;" Appropriations*"</f>
        <v>Unexpended Balances of 2018 Appropriations*</v>
      </c>
      <c r="C8" s="690"/>
      <c r="D8" s="690"/>
      <c r="E8" s="690"/>
      <c r="F8" s="690"/>
      <c r="G8" s="690"/>
      <c r="H8" s="690"/>
      <c r="I8" s="690"/>
      <c r="J8" s="690"/>
      <c r="K8" s="1204" t="s">
        <v>787</v>
      </c>
      <c r="L8" s="1124">
        <f>+'45-Utility6'!K50</f>
        <v>0</v>
      </c>
      <c r="N8" s="322"/>
      <c r="O8" s="322"/>
      <c r="P8" s="322"/>
      <c r="Q8" s="322"/>
      <c r="R8" s="322"/>
      <c r="S8" s="322"/>
      <c r="T8" s="322"/>
    </row>
    <row r="9" spans="2:26" ht="21" customHeight="1">
      <c r="B9" s="705"/>
      <c r="C9" s="648"/>
      <c r="D9" s="648"/>
      <c r="E9" s="648"/>
      <c r="F9" s="648"/>
      <c r="G9" s="648"/>
      <c r="H9" s="648"/>
      <c r="I9" s="690"/>
      <c r="J9" s="690"/>
      <c r="K9" s="658"/>
      <c r="L9" s="609"/>
      <c r="N9" s="322"/>
      <c r="O9" s="322"/>
      <c r="P9" s="322"/>
      <c r="Q9" s="322"/>
      <c r="R9" s="322"/>
      <c r="S9" s="322"/>
      <c r="T9" s="322"/>
    </row>
    <row r="10" spans="2:26" ht="21" customHeight="1">
      <c r="B10" s="1114" t="s">
        <v>3441</v>
      </c>
      <c r="C10" s="1114"/>
      <c r="D10" s="1114"/>
      <c r="E10" s="1114"/>
      <c r="F10" s="1114"/>
      <c r="G10" s="1114"/>
      <c r="H10" s="1114"/>
      <c r="I10" s="1114"/>
      <c r="J10" s="1114"/>
      <c r="K10" s="1198"/>
      <c r="L10" s="1206" t="s">
        <v>787</v>
      </c>
      <c r="M10" s="399">
        <f>+L9+L8+L7+L6+L5-K11-K10-K9</f>
        <v>0</v>
      </c>
      <c r="N10" s="710" t="s">
        <v>3666</v>
      </c>
      <c r="O10" s="322"/>
      <c r="P10" s="322"/>
      <c r="Q10" s="322"/>
      <c r="R10" s="322"/>
      <c r="S10" s="322"/>
      <c r="T10" s="322"/>
      <c r="V10" s="477">
        <f>-'44-Utility6'!U22</f>
        <v>0</v>
      </c>
    </row>
    <row r="11" spans="2:26" ht="21" customHeight="1">
      <c r="B11" s="702"/>
      <c r="C11" s="1199"/>
      <c r="D11" s="648"/>
      <c r="E11" s="648"/>
      <c r="F11" s="648"/>
      <c r="G11" s="648"/>
      <c r="H11" s="648"/>
      <c r="I11" s="690"/>
      <c r="J11" s="690"/>
      <c r="K11" s="601"/>
      <c r="L11" s="1206" t="s">
        <v>787</v>
      </c>
      <c r="N11" s="322"/>
      <c r="O11" s="322"/>
      <c r="P11" s="322"/>
      <c r="Q11" s="322"/>
      <c r="R11" s="322"/>
      <c r="S11" s="322"/>
      <c r="T11" s="322"/>
      <c r="U11" s="322"/>
      <c r="V11" s="322"/>
      <c r="W11" s="322"/>
      <c r="X11" s="322"/>
      <c r="Y11" s="322"/>
      <c r="Z11" s="322"/>
    </row>
    <row r="12" spans="2:26" ht="21" customHeight="1">
      <c r="B12" s="696" t="s">
        <v>273</v>
      </c>
      <c r="C12" s="1172"/>
      <c r="D12" s="690"/>
      <c r="E12" s="690"/>
      <c r="F12" s="690"/>
      <c r="G12" s="690"/>
      <c r="H12" s="690"/>
      <c r="I12" s="690"/>
      <c r="J12" s="690"/>
      <c r="K12" s="1204" t="s">
        <v>787</v>
      </c>
      <c r="L12" s="1205">
        <f>IF(M10&gt;0,0,M10*-1)</f>
        <v>0</v>
      </c>
      <c r="N12" s="322"/>
      <c r="O12" s="322"/>
      <c r="P12" s="322"/>
      <c r="Q12" s="322"/>
      <c r="R12" s="322"/>
      <c r="S12" s="322"/>
      <c r="T12" s="322"/>
      <c r="U12" s="322"/>
      <c r="V12" s="322"/>
      <c r="W12" s="322"/>
      <c r="X12" s="322"/>
      <c r="Y12" s="322"/>
      <c r="Z12" s="322"/>
    </row>
    <row r="13" spans="2:26" ht="21" customHeight="1" thickBot="1">
      <c r="B13" s="696" t="s">
        <v>274</v>
      </c>
      <c r="C13" s="1172"/>
      <c r="D13" s="690"/>
      <c r="E13" s="690"/>
      <c r="F13" s="690"/>
      <c r="G13" s="690"/>
      <c r="H13" s="690"/>
      <c r="I13" s="690"/>
      <c r="J13" s="690"/>
      <c r="K13" s="689">
        <f>IF(M10&gt;0,M10,0)</f>
        <v>0</v>
      </c>
      <c r="L13" s="1207" t="s">
        <v>787</v>
      </c>
      <c r="M13" s="399"/>
      <c r="N13" s="322"/>
      <c r="O13" s="322"/>
      <c r="P13" s="322"/>
      <c r="Q13" s="322"/>
      <c r="R13" s="322"/>
      <c r="S13" s="322"/>
      <c r="T13" s="322"/>
      <c r="U13" s="322"/>
      <c r="V13" s="476">
        <f>U11</f>
        <v>0</v>
      </c>
      <c r="W13" s="322"/>
      <c r="X13" s="322"/>
      <c r="Y13" s="322"/>
      <c r="Z13" s="322"/>
    </row>
    <row r="14" spans="2:26" ht="21" customHeight="1" thickBot="1">
      <c r="B14" s="1209" t="s">
        <v>3440</v>
      </c>
      <c r="C14" s="1114"/>
      <c r="D14" s="1114"/>
      <c r="E14" s="1114"/>
      <c r="F14" s="1114"/>
      <c r="G14" s="1114"/>
      <c r="H14" s="1114"/>
      <c r="I14" s="1114"/>
      <c r="J14" s="1114"/>
      <c r="K14" s="1131">
        <f>SUM(K5:K13)</f>
        <v>0</v>
      </c>
      <c r="L14" s="1132">
        <f>SUM(L5:L13)</f>
        <v>0</v>
      </c>
      <c r="M14" s="399">
        <f>L14-K14</f>
        <v>0</v>
      </c>
      <c r="N14" s="710" t="s">
        <v>3666</v>
      </c>
      <c r="O14" s="322"/>
      <c r="P14" s="322"/>
      <c r="Q14" s="322"/>
      <c r="R14" s="322"/>
      <c r="S14" s="322"/>
      <c r="T14" s="322"/>
      <c r="U14" s="322"/>
      <c r="V14" s="322"/>
      <c r="W14" s="322"/>
      <c r="X14" s="322"/>
      <c r="Y14" s="322"/>
      <c r="Z14" s="322"/>
    </row>
    <row r="15" spans="2:26" ht="18.75" customHeight="1" thickTop="1">
      <c r="N15" s="322"/>
      <c r="O15" s="322"/>
      <c r="P15" s="322"/>
      <c r="Q15" s="322"/>
      <c r="R15" s="322"/>
      <c r="S15" s="322"/>
      <c r="T15" s="322"/>
    </row>
    <row r="16" spans="2:26" ht="18.75" customHeight="1">
      <c r="K16" s="399"/>
      <c r="N16" s="322"/>
      <c r="O16" s="322"/>
      <c r="P16" s="322"/>
      <c r="Q16" s="322"/>
      <c r="R16" s="322"/>
      <c r="S16" s="322"/>
      <c r="T16" s="322"/>
    </row>
    <row r="17" spans="2:20" ht="22.8">
      <c r="B17" s="1759" t="str">
        <f>"OPERATING  SURPLUS  - "&amp;UPPER('KEY INPUTS'!D57)&amp;" UTILITY"</f>
        <v>OPERATING  SURPLUS  -  UTILITY</v>
      </c>
      <c r="C17" s="1759"/>
      <c r="D17" s="1759"/>
      <c r="E17" s="1759"/>
      <c r="F17" s="1759"/>
      <c r="G17" s="1759"/>
      <c r="H17" s="1759"/>
      <c r="I17" s="1759"/>
      <c r="J17" s="1759"/>
      <c r="K17" s="1759"/>
      <c r="L17" s="1759"/>
      <c r="N17" s="322"/>
      <c r="O17" s="322"/>
      <c r="P17" s="322"/>
      <c r="Q17" s="322"/>
      <c r="R17" s="322"/>
      <c r="S17" s="322"/>
      <c r="T17" s="322"/>
    </row>
    <row r="18" spans="2:20" ht="6.75" customHeight="1" thickBot="1">
      <c r="B18" s="1114"/>
      <c r="C18" s="1114"/>
      <c r="D18" s="1114"/>
      <c r="E18" s="1114"/>
      <c r="F18" s="1114"/>
      <c r="G18" s="1114"/>
      <c r="H18" s="1114"/>
      <c r="I18" s="1114"/>
      <c r="J18" s="1114"/>
      <c r="K18" s="1114"/>
      <c r="L18" s="1114"/>
      <c r="N18" s="322"/>
      <c r="O18" s="322"/>
      <c r="P18" s="322"/>
      <c r="Q18" s="322"/>
      <c r="R18" s="322"/>
      <c r="S18" s="322"/>
      <c r="T18" s="322"/>
    </row>
    <row r="19" spans="2:20" ht="25.5" customHeight="1" thickTop="1" thickBot="1">
      <c r="B19" s="1333"/>
      <c r="C19" s="1333"/>
      <c r="D19" s="1333"/>
      <c r="E19" s="1333"/>
      <c r="F19" s="1333"/>
      <c r="G19" s="1333"/>
      <c r="H19" s="1333"/>
      <c r="I19" s="1333"/>
      <c r="J19" s="1333"/>
      <c r="K19" s="1115" t="s">
        <v>125</v>
      </c>
      <c r="L19" s="1116" t="s">
        <v>126</v>
      </c>
      <c r="N19" s="322"/>
      <c r="O19" s="322"/>
      <c r="P19" s="322"/>
      <c r="Q19" s="322"/>
      <c r="R19" s="322"/>
      <c r="S19" s="322"/>
      <c r="T19" s="322"/>
    </row>
    <row r="20" spans="2:20" ht="21" customHeight="1" thickTop="1">
      <c r="B20" s="1211" t="str">
        <f>'KEY INPUTS'!D25</f>
        <v>Balance - January 1, 2019</v>
      </c>
      <c r="C20" s="1170"/>
      <c r="D20" s="1170"/>
      <c r="E20" s="1170"/>
      <c r="F20" s="1170"/>
      <c r="G20" s="1170"/>
      <c r="H20" s="1170"/>
      <c r="I20" s="1170"/>
      <c r="J20" s="1170"/>
      <c r="K20" s="1202" t="s">
        <v>787</v>
      </c>
      <c r="L20" s="639"/>
      <c r="N20" s="322"/>
      <c r="O20" s="322"/>
      <c r="P20" s="322"/>
      <c r="Q20" s="322"/>
      <c r="R20" s="322"/>
      <c r="S20" s="322"/>
      <c r="T20" s="322"/>
    </row>
    <row r="21" spans="2:20" ht="21" customHeight="1">
      <c r="B21" s="1200"/>
      <c r="C21" s="648"/>
      <c r="D21" s="648"/>
      <c r="E21" s="648"/>
      <c r="F21" s="648"/>
      <c r="G21" s="648"/>
      <c r="H21" s="648"/>
      <c r="I21" s="648"/>
      <c r="J21" s="648"/>
      <c r="K21" s="1197"/>
      <c r="L21" s="609"/>
      <c r="N21" s="322"/>
      <c r="O21" s="322"/>
      <c r="P21" s="322"/>
      <c r="Q21" s="322"/>
      <c r="R21" s="322"/>
      <c r="S21" s="322"/>
      <c r="T21" s="322"/>
    </row>
    <row r="22" spans="2:20" ht="21" customHeight="1">
      <c r="B22" s="914" t="str">
        <f>"Excess in Results of "&amp;TEXT('KEY INPUTS'!D34,"0")&amp;" Operations"</f>
        <v>Excess in Results of 2019 Operations</v>
      </c>
      <c r="C22" s="690"/>
      <c r="D22" s="690"/>
      <c r="E22" s="690"/>
      <c r="F22" s="690"/>
      <c r="G22" s="690"/>
      <c r="H22" s="690"/>
      <c r="I22" s="690"/>
      <c r="J22" s="690"/>
      <c r="K22" s="1204" t="s">
        <v>787</v>
      </c>
      <c r="L22" s="1124">
        <f>+K13</f>
        <v>0</v>
      </c>
    </row>
    <row r="23" spans="2:20" ht="21" customHeight="1">
      <c r="B23" s="914" t="str">
        <f>"Amount Appropriated in the "&amp;TEXT('KEY INPUTS'!D34,"0")&amp;" Budget - Cash"</f>
        <v>Amount Appropriated in the 2019 Budget - Cash</v>
      </c>
      <c r="C23" s="690"/>
      <c r="D23" s="690"/>
      <c r="E23" s="690"/>
      <c r="F23" s="690"/>
      <c r="G23" s="690"/>
      <c r="H23" s="690"/>
      <c r="I23" s="690"/>
      <c r="J23" s="690"/>
      <c r="K23" s="689">
        <f>'44-Utility6'!I7</f>
        <v>0</v>
      </c>
      <c r="L23" s="1206" t="s">
        <v>787</v>
      </c>
    </row>
    <row r="24" spans="2:20" ht="11.25" customHeight="1">
      <c r="B24" s="1189" t="str">
        <f>"Amount Appropriated in "&amp;TEXT('KEY INPUTS'!D34,"0")&amp;" Budget with Prior Written"</f>
        <v>Amount Appropriated in 2019 Budget with Prior Written</v>
      </c>
      <c r="C24" s="1114"/>
      <c r="D24" s="1114"/>
      <c r="E24" s="1114"/>
      <c r="F24" s="1114"/>
      <c r="G24" s="1114"/>
      <c r="H24" s="1114"/>
      <c r="I24" s="1114"/>
      <c r="J24" s="1114"/>
      <c r="K24" s="1807"/>
      <c r="L24" s="1809" t="s">
        <v>787</v>
      </c>
    </row>
    <row r="25" spans="2:20" ht="12.75" customHeight="1">
      <c r="B25" s="1128" t="s">
        <v>1065</v>
      </c>
      <c r="C25" s="1128"/>
      <c r="D25" s="1128"/>
      <c r="E25" s="1128"/>
      <c r="F25" s="1128"/>
      <c r="G25" s="1128"/>
      <c r="H25" s="1128"/>
      <c r="I25" s="1128"/>
      <c r="J25" s="1128"/>
      <c r="K25" s="1808"/>
      <c r="L25" s="1810"/>
    </row>
    <row r="26" spans="2:20" ht="21" customHeight="1">
      <c r="B26" s="1200"/>
      <c r="C26" s="648"/>
      <c r="D26" s="648"/>
      <c r="E26" s="648"/>
      <c r="F26" s="648"/>
      <c r="G26" s="648"/>
      <c r="H26" s="648"/>
      <c r="I26" s="648"/>
      <c r="J26" s="648"/>
      <c r="K26" s="601"/>
      <c r="L26" s="1334"/>
    </row>
    <row r="27" spans="2:20" ht="21" customHeight="1" thickBot="1">
      <c r="B27" s="690" t="str">
        <f>'KEY INPUTS'!D26</f>
        <v>Balance - December 31, 2019</v>
      </c>
      <c r="C27" s="690"/>
      <c r="D27" s="690"/>
      <c r="E27" s="690"/>
      <c r="F27" s="690"/>
      <c r="G27" s="690"/>
      <c r="H27" s="690"/>
      <c r="I27" s="690"/>
      <c r="J27" s="690"/>
      <c r="K27" s="1129">
        <f>+SUM(L20:L26)-SUM(K21:K26)</f>
        <v>0</v>
      </c>
      <c r="L27" s="1207" t="s">
        <v>787</v>
      </c>
      <c r="N27" s="776" t="s">
        <v>3529</v>
      </c>
    </row>
    <row r="28" spans="2:20" ht="21" customHeight="1" thickBot="1">
      <c r="B28" s="1114"/>
      <c r="C28" s="1114"/>
      <c r="D28" s="1114"/>
      <c r="E28" s="1114"/>
      <c r="F28" s="1114"/>
      <c r="G28" s="1114"/>
      <c r="H28" s="1114"/>
      <c r="I28" s="1114"/>
      <c r="J28" s="1114"/>
      <c r="K28" s="1131">
        <f>SUM(K21:K27)</f>
        <v>0</v>
      </c>
      <c r="L28" s="1132">
        <f>SUM(L20:L27)</f>
        <v>0</v>
      </c>
    </row>
    <row r="29" spans="2:20" ht="13.8" thickTop="1"/>
    <row r="32" spans="2:20" ht="17.399999999999999">
      <c r="B32" s="1805" t="str">
        <f>"ANALYSIS  OF  BALANCE  DECEMBER 31, "&amp;TEXT('KEY INPUTS'!D34,"0")&amp;""</f>
        <v>ANALYSIS  OF  BALANCE  DECEMBER 31, 2019</v>
      </c>
      <c r="C32" s="1805"/>
      <c r="D32" s="1805"/>
      <c r="E32" s="1805"/>
      <c r="F32" s="1805"/>
      <c r="G32" s="1805"/>
      <c r="H32" s="1805"/>
      <c r="I32" s="1805"/>
      <c r="J32" s="1805"/>
      <c r="K32" s="1805"/>
      <c r="L32" s="1805"/>
    </row>
    <row r="33" spans="2:14" ht="17.399999999999999">
      <c r="B33" s="1805" t="str">
        <f>"(FROM "&amp;UPPER('KEY INPUTS'!D57)&amp;" UTILITY  -  TRIAL  BALANCE)"</f>
        <v>(FROM  UTILITY  -  TRIAL  BALANCE)</v>
      </c>
      <c r="C33" s="1805"/>
      <c r="D33" s="1805"/>
      <c r="E33" s="1805"/>
      <c r="F33" s="1805"/>
      <c r="G33" s="1805"/>
      <c r="H33" s="1805"/>
      <c r="I33" s="1805"/>
      <c r="J33" s="1805"/>
      <c r="K33" s="1805"/>
      <c r="L33" s="1805"/>
    </row>
    <row r="34" spans="2:14" ht="13.8" thickBot="1">
      <c r="B34" s="1114"/>
      <c r="C34" s="1114"/>
      <c r="D34" s="1114"/>
      <c r="E34" s="1114"/>
      <c r="F34" s="1114"/>
      <c r="G34" s="1114"/>
      <c r="H34" s="1114"/>
      <c r="I34" s="1114"/>
      <c r="J34" s="1114"/>
      <c r="K34" s="1114"/>
      <c r="L34" s="1114"/>
    </row>
    <row r="35" spans="2:14" ht="21" customHeight="1" thickTop="1">
      <c r="B35" s="1170" t="s">
        <v>253</v>
      </c>
      <c r="C35" s="1170"/>
      <c r="D35" s="1170"/>
      <c r="E35" s="1170"/>
      <c r="F35" s="1170"/>
      <c r="G35" s="1170"/>
      <c r="H35" s="1170"/>
      <c r="I35" s="1170"/>
      <c r="J35" s="1170"/>
      <c r="K35" s="1214"/>
      <c r="L35" s="1213">
        <f>+'41-Utility6'!G13</f>
        <v>0</v>
      </c>
    </row>
    <row r="36" spans="2:14" ht="21" customHeight="1">
      <c r="B36" s="690" t="s">
        <v>419</v>
      </c>
      <c r="C36" s="690"/>
      <c r="D36" s="690"/>
      <c r="E36" s="690"/>
      <c r="F36" s="690"/>
      <c r="G36" s="690"/>
      <c r="H36" s="690"/>
      <c r="I36" s="690"/>
      <c r="J36" s="690"/>
      <c r="K36" s="1215"/>
      <c r="L36" s="631"/>
    </row>
    <row r="37" spans="2:14" ht="21" customHeight="1" thickBot="1">
      <c r="B37" s="690" t="s">
        <v>829</v>
      </c>
      <c r="C37" s="690"/>
      <c r="D37" s="690"/>
      <c r="E37" s="690"/>
      <c r="F37" s="690"/>
      <c r="G37" s="690"/>
      <c r="H37" s="690"/>
      <c r="I37" s="690"/>
      <c r="J37" s="690"/>
      <c r="K37" s="1215"/>
      <c r="L37" s="633"/>
    </row>
    <row r="38" spans="2:14" ht="21" customHeight="1" thickTop="1">
      <c r="B38" s="690"/>
      <c r="C38" s="690"/>
      <c r="D38" s="690" t="s">
        <v>421</v>
      </c>
      <c r="E38" s="690"/>
      <c r="F38" s="690"/>
      <c r="G38" s="690"/>
      <c r="H38" s="690"/>
      <c r="I38" s="690"/>
      <c r="J38" s="690"/>
      <c r="K38" s="1215"/>
      <c r="L38" s="1216">
        <f>SUM(L35:L37)</f>
        <v>0</v>
      </c>
    </row>
    <row r="39" spans="2:14" ht="21" customHeight="1" thickBot="1">
      <c r="B39" s="690" t="s">
        <v>470</v>
      </c>
      <c r="C39" s="690"/>
      <c r="D39" s="690"/>
      <c r="E39" s="690"/>
      <c r="F39" s="690"/>
      <c r="G39" s="690"/>
      <c r="H39" s="690"/>
      <c r="I39" s="690"/>
      <c r="J39" s="690"/>
      <c r="K39" s="1215"/>
      <c r="L39" s="1217">
        <f>+'41-Utility6'!H39</f>
        <v>0</v>
      </c>
    </row>
    <row r="40" spans="2:14" ht="21" customHeight="1" thickTop="1">
      <c r="B40" s="690"/>
      <c r="C40" s="690"/>
      <c r="D40" s="690" t="s">
        <v>268</v>
      </c>
      <c r="E40" s="690"/>
      <c r="F40" s="690"/>
      <c r="G40" s="690"/>
      <c r="H40" s="690"/>
      <c r="I40" s="690"/>
      <c r="J40" s="690"/>
      <c r="K40" s="1215"/>
      <c r="L40" s="1216">
        <f>+L38-L39</f>
        <v>0</v>
      </c>
    </row>
    <row r="41" spans="2:14" ht="21" customHeight="1">
      <c r="B41" s="690" t="s">
        <v>477</v>
      </c>
      <c r="C41" s="690"/>
      <c r="D41" s="690"/>
      <c r="E41" s="690"/>
      <c r="F41" s="690"/>
      <c r="G41" s="690"/>
      <c r="H41" s="690"/>
      <c r="I41" s="690"/>
      <c r="J41" s="690"/>
      <c r="K41" s="691"/>
      <c r="L41" s="1120"/>
    </row>
    <row r="42" spans="2:14" ht="22.5" customHeight="1">
      <c r="B42" s="690"/>
      <c r="C42" s="1804" t="s">
        <v>473</v>
      </c>
      <c r="D42" s="1804"/>
      <c r="E42" s="1804"/>
      <c r="F42" s="1804"/>
      <c r="G42" s="1804"/>
      <c r="H42" s="1223"/>
      <c r="I42" s="690"/>
      <c r="J42" s="690"/>
      <c r="K42" s="601"/>
      <c r="L42" s="1120"/>
    </row>
    <row r="43" spans="2:14" ht="21" customHeight="1">
      <c r="B43" s="690"/>
      <c r="C43" s="690" t="s">
        <v>269</v>
      </c>
      <c r="D43" s="690"/>
      <c r="E43" s="690"/>
      <c r="F43" s="690"/>
      <c r="G43" s="690"/>
      <c r="H43" s="690"/>
      <c r="I43" s="690"/>
      <c r="J43" s="690"/>
      <c r="K43" s="601"/>
      <c r="L43" s="1120"/>
      <c r="M43" s="399"/>
      <c r="N43" s="399"/>
    </row>
    <row r="44" spans="2:14" ht="21" customHeight="1" thickBot="1">
      <c r="B44" s="690"/>
      <c r="C44" s="690"/>
      <c r="D44" s="690" t="s">
        <v>475</v>
      </c>
      <c r="E44" s="690"/>
      <c r="F44" s="690"/>
      <c r="G44" s="690"/>
      <c r="H44" s="690"/>
      <c r="I44" s="690"/>
      <c r="J44" s="690"/>
      <c r="K44" s="1219"/>
      <c r="L44" s="1130">
        <f>SUM(K42:K43)</f>
        <v>0</v>
      </c>
    </row>
    <row r="45" spans="2:14" ht="21" customHeight="1" thickBot="1">
      <c r="B45" s="1220" t="str">
        <f>"# MAY NOT BE ANTICIPATED AS NON-CASH SURPLUS IN "&amp;TEXT('KEY INPUTS'!D34,"0")&amp;" BUDGET."</f>
        <v># MAY NOT BE ANTICIPATED AS NON-CASH SURPLUS IN 2019 BUDGET.</v>
      </c>
      <c r="C45" s="1114"/>
      <c r="D45" s="1114"/>
      <c r="E45" s="1114"/>
      <c r="F45" s="1114"/>
      <c r="G45" s="1114"/>
      <c r="H45" s="1114"/>
      <c r="I45" s="1114"/>
      <c r="J45" s="1114"/>
      <c r="K45" s="1221"/>
      <c r="L45" s="1218">
        <f>+L40+L44</f>
        <v>0</v>
      </c>
      <c r="M45" s="399"/>
      <c r="N45" s="776" t="s">
        <v>3529</v>
      </c>
    </row>
    <row r="46" spans="2:14" ht="13.8" thickTop="1">
      <c r="B46" s="470" t="s">
        <v>275</v>
      </c>
      <c r="C46" s="470"/>
    </row>
    <row r="47" spans="2:14">
      <c r="B47" s="470"/>
      <c r="C47" s="470" t="s">
        <v>3439</v>
      </c>
    </row>
    <row r="52" spans="2:12" ht="13.8">
      <c r="B52" s="1765" t="s">
        <v>3438</v>
      </c>
      <c r="C52" s="1765"/>
      <c r="D52" s="1765"/>
      <c r="E52" s="1765"/>
      <c r="F52" s="1765"/>
      <c r="G52" s="1765"/>
      <c r="H52" s="1765"/>
      <c r="I52" s="1765"/>
      <c r="J52" s="1765"/>
      <c r="K52" s="1765"/>
      <c r="L52" s="1765"/>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8">
    <mergeCell ref="B52:L52"/>
    <mergeCell ref="B2:L2"/>
    <mergeCell ref="B17:L17"/>
    <mergeCell ref="B32:L32"/>
    <mergeCell ref="B33:L33"/>
    <mergeCell ref="C42:G42"/>
    <mergeCell ref="K24:K25"/>
    <mergeCell ref="L24:L25"/>
  </mergeCells>
  <pageMargins left="0.25" right="0.25" top="0.5" bottom="0.5" header="0.25" footer="0.25"/>
  <pageSetup paperSize="5" orientation="portrait" r:id="rId5"/>
  <headerFooter alignWithMargins="0"/>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Sheet278">
    <tabColor theme="3" tint="0.79998168889431442"/>
  </sheetPr>
  <dimension ref="B3:T69"/>
  <sheetViews>
    <sheetView zoomScaleNormal="100" zoomScaleSheetLayoutView="80" workbookViewId="0">
      <selection activeCell="B1" sqref="B1"/>
    </sheetView>
  </sheetViews>
  <sheetFormatPr defaultColWidth="9.109375" defaultRowHeight="13.2"/>
  <cols>
    <col min="1" max="4" width="4.6640625" style="331" customWidth="1"/>
    <col min="5" max="8" width="9.109375" style="331"/>
    <col min="9" max="9" width="1.6640625" style="331" customWidth="1"/>
    <col min="10" max="10" width="16.6640625" style="331" customWidth="1"/>
    <col min="11" max="11" width="1.6640625" style="331" customWidth="1"/>
    <col min="12" max="12" width="16.6640625" style="331" customWidth="1"/>
    <col min="13" max="16384" width="9.109375" style="331"/>
  </cols>
  <sheetData>
    <row r="3" spans="2:20" ht="17.399999999999999">
      <c r="B3" s="1811" t="str">
        <f>"SCHEDULE  OF "&amp;UPPER('KEY INPUTS'!D57&amp;"  UTILITY  ACCOUNTS  RECEIVABLE")</f>
        <v>SCHEDULE  OF   UTILITY  ACCOUNTS  RECEIVABLE</v>
      </c>
      <c r="C3" s="1811"/>
      <c r="D3" s="1811"/>
      <c r="E3" s="1811"/>
      <c r="F3" s="1811"/>
      <c r="G3" s="1811"/>
      <c r="H3" s="1811"/>
      <c r="I3" s="1811"/>
      <c r="J3" s="1811"/>
      <c r="K3" s="1811"/>
      <c r="L3" s="1811"/>
    </row>
    <row r="6" spans="2:20">
      <c r="B6" s="480" t="str">
        <f>"Balance December 31, "&amp;'KEY INPUTS'!D35</f>
        <v>Balance December 31, 2018</v>
      </c>
      <c r="J6" s="287"/>
      <c r="K6" s="331" t="s">
        <v>482</v>
      </c>
      <c r="L6" s="580"/>
      <c r="N6" s="322"/>
      <c r="O6" s="322"/>
      <c r="P6" s="322"/>
      <c r="Q6" s="322"/>
      <c r="R6" s="322"/>
      <c r="S6" s="322"/>
      <c r="T6" s="322"/>
    </row>
    <row r="7" spans="2:20">
      <c r="J7" s="287"/>
      <c r="K7" s="287"/>
      <c r="L7" s="287"/>
      <c r="N7" s="322"/>
      <c r="O7" s="322"/>
      <c r="P7" s="322"/>
      <c r="Q7" s="322"/>
      <c r="R7" s="322"/>
      <c r="S7" s="322"/>
      <c r="T7" s="322"/>
    </row>
    <row r="8" spans="2:20">
      <c r="J8" s="287"/>
      <c r="K8" s="287"/>
      <c r="L8" s="287"/>
      <c r="N8" s="377"/>
      <c r="O8" s="322"/>
      <c r="P8" s="322"/>
      <c r="Q8" s="322"/>
      <c r="R8" s="322"/>
      <c r="S8" s="322"/>
      <c r="T8" s="322"/>
    </row>
    <row r="9" spans="2:20">
      <c r="J9" s="287"/>
      <c r="K9" s="287"/>
      <c r="L9" s="287"/>
      <c r="N9" s="322"/>
      <c r="O9" s="322"/>
      <c r="P9" s="322"/>
      <c r="Q9" s="322"/>
      <c r="R9" s="322"/>
      <c r="S9" s="322"/>
      <c r="T9" s="322"/>
    </row>
    <row r="10" spans="2:20">
      <c r="B10" s="331" t="s">
        <v>276</v>
      </c>
      <c r="J10" s="287"/>
      <c r="K10" s="287"/>
      <c r="L10" s="287"/>
      <c r="N10" s="322"/>
      <c r="O10" s="322"/>
      <c r="P10" s="322"/>
      <c r="Q10" s="322"/>
      <c r="R10" s="322"/>
      <c r="S10" s="322"/>
      <c r="T10" s="322"/>
    </row>
    <row r="11" spans="2:20">
      <c r="D11" s="1478" t="s">
        <v>3783</v>
      </c>
      <c r="E11" s="1477"/>
      <c r="F11" s="1192"/>
      <c r="G11" s="1114"/>
      <c r="J11" s="287"/>
      <c r="K11" s="331" t="s">
        <v>482</v>
      </c>
      <c r="L11" s="580"/>
      <c r="N11" s="322"/>
      <c r="O11" s="322"/>
      <c r="P11" s="322"/>
      <c r="Q11" s="322"/>
      <c r="R11" s="322"/>
      <c r="S11" s="322"/>
      <c r="T11" s="322"/>
    </row>
    <row r="12" spans="2:20">
      <c r="J12" s="287"/>
      <c r="K12" s="287"/>
      <c r="L12" s="287"/>
      <c r="N12" s="322"/>
      <c r="O12" s="322"/>
      <c r="P12" s="322"/>
      <c r="Q12" s="322"/>
      <c r="R12" s="322"/>
      <c r="S12" s="322"/>
      <c r="T12" s="322"/>
    </row>
    <row r="13" spans="2:20">
      <c r="J13" s="287"/>
      <c r="K13" s="287"/>
      <c r="L13" s="287"/>
      <c r="N13" s="322"/>
      <c r="O13" s="322"/>
      <c r="P13" s="322"/>
      <c r="Q13" s="322"/>
      <c r="R13" s="322"/>
      <c r="S13" s="322"/>
      <c r="T13" s="322"/>
    </row>
    <row r="14" spans="2:20">
      <c r="J14" s="287"/>
      <c r="K14" s="287"/>
      <c r="L14" s="287"/>
      <c r="N14" s="322"/>
      <c r="O14" s="322"/>
      <c r="P14" s="322"/>
      <c r="Q14" s="322"/>
      <c r="R14" s="322"/>
      <c r="S14" s="322"/>
      <c r="T14" s="322"/>
    </row>
    <row r="15" spans="2:20">
      <c r="B15" s="331" t="s">
        <v>277</v>
      </c>
      <c r="J15" s="287"/>
      <c r="K15" s="287"/>
      <c r="L15" s="287"/>
      <c r="N15" s="322"/>
      <c r="O15" s="322"/>
      <c r="P15" s="322"/>
      <c r="Q15" s="322"/>
      <c r="R15" s="322"/>
      <c r="S15" s="322"/>
      <c r="T15" s="322"/>
    </row>
    <row r="16" spans="2:20" ht="21" customHeight="1">
      <c r="D16" s="331" t="s">
        <v>278</v>
      </c>
      <c r="I16" s="331" t="s">
        <v>482</v>
      </c>
      <c r="J16" s="580"/>
      <c r="K16" s="287"/>
      <c r="L16" s="287"/>
      <c r="N16" s="322"/>
      <c r="O16" s="322"/>
      <c r="P16" s="322"/>
      <c r="Q16" s="322"/>
      <c r="R16" s="322"/>
      <c r="S16" s="322"/>
      <c r="T16" s="322"/>
    </row>
    <row r="17" spans="2:20" ht="21" customHeight="1">
      <c r="D17" s="331" t="s">
        <v>279</v>
      </c>
      <c r="I17" s="331" t="s">
        <v>482</v>
      </c>
      <c r="J17" s="580"/>
      <c r="K17" s="287"/>
      <c r="L17" s="287"/>
      <c r="N17" s="322"/>
      <c r="O17" s="322"/>
      <c r="P17" s="322"/>
      <c r="Q17" s="322"/>
      <c r="R17" s="322"/>
      <c r="S17" s="322"/>
      <c r="T17" s="322"/>
    </row>
    <row r="18" spans="2:20" ht="21" customHeight="1">
      <c r="D18" s="1114" t="s">
        <v>3784</v>
      </c>
      <c r="E18" s="1114"/>
      <c r="F18" s="1192"/>
      <c r="G18" s="1114"/>
      <c r="I18" s="331" t="s">
        <v>482</v>
      </c>
      <c r="J18" s="580"/>
      <c r="K18" s="287"/>
      <c r="L18" s="287"/>
      <c r="N18" s="322"/>
      <c r="O18" s="322"/>
      <c r="P18" s="322"/>
      <c r="Q18" s="322"/>
      <c r="R18" s="322"/>
      <c r="S18" s="322"/>
      <c r="T18" s="322"/>
    </row>
    <row r="19" spans="2:20" ht="21" customHeight="1">
      <c r="D19" s="331" t="s">
        <v>280</v>
      </c>
      <c r="I19" s="331" t="s">
        <v>482</v>
      </c>
      <c r="J19" s="580"/>
      <c r="K19" s="287"/>
      <c r="L19" s="287"/>
      <c r="N19" s="322"/>
      <c r="O19" s="322"/>
      <c r="P19" s="322"/>
      <c r="Q19" s="322"/>
      <c r="R19" s="322"/>
      <c r="S19" s="322"/>
      <c r="T19" s="322"/>
    </row>
    <row r="20" spans="2:20">
      <c r="J20" s="287"/>
      <c r="K20" s="287"/>
      <c r="L20" s="287"/>
      <c r="N20" s="322"/>
      <c r="O20" s="322"/>
      <c r="P20" s="322"/>
      <c r="Q20" s="322"/>
      <c r="R20" s="322"/>
      <c r="S20" s="322"/>
      <c r="T20" s="322"/>
    </row>
    <row r="21" spans="2:20">
      <c r="J21" s="287"/>
      <c r="K21" s="331" t="s">
        <v>482</v>
      </c>
      <c r="L21" s="67">
        <f>SUM(J16:J19)</f>
        <v>0</v>
      </c>
      <c r="N21" s="322"/>
      <c r="O21" s="322"/>
      <c r="P21" s="322"/>
      <c r="Q21" s="322"/>
      <c r="R21" s="322"/>
      <c r="S21" s="322"/>
      <c r="T21" s="322"/>
    </row>
    <row r="22" spans="2:20">
      <c r="J22" s="287"/>
      <c r="K22" s="287"/>
      <c r="L22" s="287"/>
      <c r="N22" s="322"/>
      <c r="O22" s="322"/>
      <c r="P22" s="322"/>
      <c r="Q22" s="322"/>
      <c r="R22" s="322"/>
      <c r="S22" s="322"/>
      <c r="T22" s="322"/>
    </row>
    <row r="23" spans="2:20">
      <c r="J23" s="287"/>
      <c r="K23" s="287"/>
      <c r="L23" s="287"/>
    </row>
    <row r="24" spans="2:20" ht="13.8" thickBot="1">
      <c r="B24" s="478" t="str">
        <f>"Balance December 31, "&amp;'KEY INPUTS'!D34</f>
        <v>Balance December 31, 2019</v>
      </c>
      <c r="J24" s="287"/>
      <c r="K24" s="331" t="s">
        <v>482</v>
      </c>
      <c r="L24" s="84">
        <f>+L6+L11-L21</f>
        <v>0</v>
      </c>
    </row>
    <row r="25" spans="2:20" ht="13.8" thickTop="1"/>
    <row r="28" spans="2:20">
      <c r="B28" s="479"/>
      <c r="C28" s="479"/>
      <c r="D28" s="479"/>
      <c r="E28" s="479"/>
      <c r="F28" s="479"/>
      <c r="G28" s="479"/>
      <c r="H28" s="479"/>
      <c r="I28" s="479"/>
      <c r="J28" s="479"/>
      <c r="K28" s="479"/>
      <c r="L28" s="479"/>
    </row>
    <row r="29" spans="2:20" ht="4.5" customHeight="1">
      <c r="B29" s="479"/>
      <c r="C29" s="479"/>
      <c r="D29" s="479"/>
      <c r="E29" s="479"/>
      <c r="F29" s="479"/>
      <c r="G29" s="479"/>
      <c r="H29" s="479"/>
      <c r="I29" s="479"/>
      <c r="J29" s="479"/>
      <c r="K29" s="479"/>
      <c r="L29" s="479"/>
    </row>
    <row r="33" spans="2:12" ht="17.399999999999999">
      <c r="B33" s="1805" t="str">
        <f>"SCHEDULE  OF "&amp;UPPER('KEY INPUTS'!D57)&amp;" UTILITY  LIENS"</f>
        <v>SCHEDULE  OF  UTILITY  LIENS</v>
      </c>
      <c r="C33" s="1805"/>
      <c r="D33" s="1805"/>
      <c r="E33" s="1805"/>
      <c r="F33" s="1805"/>
      <c r="G33" s="1805"/>
      <c r="H33" s="1805"/>
      <c r="I33" s="1805"/>
      <c r="J33" s="1805"/>
      <c r="K33" s="1805"/>
      <c r="L33" s="1805"/>
    </row>
    <row r="36" spans="2:12">
      <c r="B36" s="478" t="str">
        <f>"Balance December 31, "&amp;'KEY INPUTS'!D35</f>
        <v>Balance December 31, 2018</v>
      </c>
      <c r="I36" s="287"/>
      <c r="J36" s="287"/>
      <c r="K36" s="287" t="s">
        <v>482</v>
      </c>
      <c r="L36" s="580"/>
    </row>
    <row r="37" spans="2:12">
      <c r="I37" s="287"/>
      <c r="J37" s="287"/>
      <c r="K37" s="287"/>
      <c r="L37" s="287"/>
    </row>
    <row r="38" spans="2:12">
      <c r="I38" s="287"/>
      <c r="J38" s="287"/>
      <c r="K38" s="287"/>
      <c r="L38" s="287"/>
    </row>
    <row r="39" spans="2:12">
      <c r="I39" s="287"/>
      <c r="J39" s="287"/>
      <c r="K39" s="287"/>
      <c r="L39" s="287"/>
    </row>
    <row r="40" spans="2:12">
      <c r="B40" s="331" t="s">
        <v>276</v>
      </c>
      <c r="I40" s="287"/>
      <c r="J40" s="287"/>
      <c r="K40" s="287"/>
      <c r="L40" s="287"/>
    </row>
    <row r="41" spans="2:12" ht="21" customHeight="1">
      <c r="D41" s="331" t="s">
        <v>281</v>
      </c>
      <c r="I41" s="331" t="s">
        <v>482</v>
      </c>
      <c r="J41" s="580"/>
      <c r="K41" s="287"/>
      <c r="L41" s="287"/>
    </row>
    <row r="42" spans="2:12" ht="21" customHeight="1">
      <c r="D42" s="331" t="s">
        <v>282</v>
      </c>
      <c r="I42" s="331" t="s">
        <v>482</v>
      </c>
      <c r="J42" s="580"/>
      <c r="K42" s="287"/>
      <c r="L42" s="287"/>
    </row>
    <row r="43" spans="2:12" ht="21" customHeight="1">
      <c r="D43" s="331" t="s">
        <v>280</v>
      </c>
      <c r="I43" s="331" t="s">
        <v>482</v>
      </c>
      <c r="J43" s="580"/>
      <c r="K43" s="125"/>
      <c r="L43" s="125"/>
    </row>
    <row r="44" spans="2:12">
      <c r="I44" s="287"/>
      <c r="J44" s="287"/>
      <c r="K44" s="287"/>
      <c r="L44" s="287"/>
    </row>
    <row r="45" spans="2:12">
      <c r="I45" s="287"/>
      <c r="J45" s="287"/>
      <c r="K45" s="331" t="s">
        <v>482</v>
      </c>
      <c r="L45" s="67">
        <f>SUM(J41:J43)</f>
        <v>0</v>
      </c>
    </row>
    <row r="46" spans="2:12">
      <c r="I46" s="287"/>
      <c r="J46" s="287"/>
      <c r="K46" s="287"/>
      <c r="L46" s="287"/>
    </row>
    <row r="47" spans="2:12">
      <c r="B47" s="331" t="s">
        <v>277</v>
      </c>
      <c r="I47" s="287"/>
      <c r="J47" s="287"/>
      <c r="K47" s="287"/>
      <c r="L47" s="287"/>
    </row>
    <row r="48" spans="2:12" ht="21" customHeight="1">
      <c r="D48" s="331" t="s">
        <v>278</v>
      </c>
      <c r="I48" s="331" t="s">
        <v>482</v>
      </c>
      <c r="J48" s="580"/>
      <c r="K48" s="287"/>
      <c r="L48" s="287"/>
    </row>
    <row r="49" spans="2:12" ht="21" customHeight="1">
      <c r="D49" s="331" t="s">
        <v>280</v>
      </c>
      <c r="I49" s="331" t="s">
        <v>482</v>
      </c>
      <c r="J49" s="580"/>
      <c r="K49" s="287"/>
      <c r="L49" s="287"/>
    </row>
    <row r="50" spans="2:12">
      <c r="I50" s="287"/>
      <c r="J50" s="287"/>
      <c r="K50" s="287"/>
      <c r="L50" s="287"/>
    </row>
    <row r="51" spans="2:12">
      <c r="I51" s="287"/>
      <c r="J51" s="287"/>
      <c r="K51" s="331" t="s">
        <v>482</v>
      </c>
      <c r="L51" s="67">
        <f>+J49+J48</f>
        <v>0</v>
      </c>
    </row>
    <row r="52" spans="2:12">
      <c r="I52" s="287"/>
      <c r="J52" s="287"/>
      <c r="K52" s="287"/>
      <c r="L52" s="287"/>
    </row>
    <row r="53" spans="2:12">
      <c r="I53" s="287"/>
      <c r="J53" s="287"/>
      <c r="K53" s="287"/>
      <c r="L53" s="287"/>
    </row>
    <row r="54" spans="2:12" ht="13.8" thickBot="1">
      <c r="B54" s="478" t="str">
        <f>"Balance December 31, "&amp;'KEY INPUTS'!D34</f>
        <v>Balance December 31, 2019</v>
      </c>
      <c r="I54" s="287"/>
      <c r="J54" s="287"/>
      <c r="K54" s="331" t="s">
        <v>482</v>
      </c>
      <c r="L54" s="84">
        <f>+L36+L45-L51</f>
        <v>0</v>
      </c>
    </row>
    <row r="55" spans="2:12" ht="13.8" thickTop="1">
      <c r="I55" s="287"/>
      <c r="J55" s="287"/>
      <c r="K55" s="287"/>
      <c r="L55" s="287"/>
    </row>
    <row r="69" spans="2:12" ht="13.8">
      <c r="B69" s="1812" t="s">
        <v>3442</v>
      </c>
      <c r="C69" s="1812"/>
      <c r="D69" s="1812"/>
      <c r="E69" s="1812"/>
      <c r="F69" s="1812"/>
      <c r="G69" s="1812"/>
      <c r="H69" s="1812"/>
      <c r="I69" s="1812"/>
      <c r="J69" s="1812"/>
      <c r="K69" s="1812"/>
      <c r="L69" s="1812"/>
    </row>
  </sheetData>
  <sheetProtection algorithmName="SHA-512" hashValue="YyWH84tsL0EpvXXB9DkgR1CKCuUitj2SiAG+2emNFRIxxC8nGe4xSw6McgTAqcIml4ED5yRHvVLXvgPQcRMjeA==" saltValue="VcV4H6wDV5XUD8yjLIqTng=="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
    <mergeCell ref="B3:L3"/>
    <mergeCell ref="B33:L33"/>
    <mergeCell ref="B69:L69"/>
  </mergeCells>
  <pageMargins left="0.25" right="0.25" top="0.5" bottom="0.5" header="0.25" footer="0.25"/>
  <pageSetup paperSize="5" orientation="portrait" r:id="rId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B3:K51"/>
  <sheetViews>
    <sheetView topLeftCell="A34" zoomScaleNormal="100" workbookViewId="0">
      <selection activeCell="K29" sqref="K29"/>
    </sheetView>
  </sheetViews>
  <sheetFormatPr defaultColWidth="9.109375" defaultRowHeight="13.2"/>
  <cols>
    <col min="1" max="1" width="4.6640625" style="322" customWidth="1"/>
    <col min="2" max="2" width="4.88671875" style="322" customWidth="1"/>
    <col min="3" max="4" width="4.6640625" style="322" customWidth="1"/>
    <col min="5" max="5" width="30.6640625" style="322" customWidth="1"/>
    <col min="6" max="6" width="15.6640625" style="322" customWidth="1"/>
    <col min="7" max="8" width="16.6640625" style="322" customWidth="1"/>
    <col min="9" max="9" width="13.5546875" style="322" bestFit="1" customWidth="1"/>
    <col min="10" max="10" width="11.88671875" style="322" bestFit="1" customWidth="1"/>
    <col min="11" max="11" width="10.33203125" style="322" bestFit="1" customWidth="1"/>
    <col min="12" max="16384" width="9.109375" style="322"/>
  </cols>
  <sheetData>
    <row r="3" spans="2:9" ht="22.8">
      <c r="B3" s="1549" t="s">
        <v>543</v>
      </c>
      <c r="C3" s="1549"/>
      <c r="D3" s="1549"/>
      <c r="E3" s="1549"/>
      <c r="F3" s="1549"/>
      <c r="G3" s="1549"/>
      <c r="H3" s="1549"/>
    </row>
    <row r="4" spans="2:9" ht="22.8">
      <c r="B4" s="1549" t="s">
        <v>249</v>
      </c>
      <c r="C4" s="1549"/>
      <c r="D4" s="1549"/>
      <c r="E4" s="1549"/>
      <c r="F4" s="1549"/>
      <c r="G4" s="1549"/>
      <c r="H4" s="1549"/>
    </row>
    <row r="5" spans="2:9" ht="13.8">
      <c r="B5" s="1578"/>
      <c r="C5" s="1578"/>
      <c r="D5" s="1578"/>
      <c r="E5" s="1578"/>
      <c r="F5" s="1578"/>
      <c r="G5" s="1578"/>
      <c r="H5" s="1578"/>
    </row>
    <row r="6" spans="2:9" ht="15.6">
      <c r="B6" s="1556" t="str">
        <f>'KEY INPUTS'!D44</f>
        <v>AS  AT  DECEMBER  31, 2019</v>
      </c>
      <c r="C6" s="1509"/>
      <c r="D6" s="1509"/>
      <c r="E6" s="1509"/>
      <c r="F6" s="1509"/>
      <c r="G6" s="1509"/>
      <c r="H6" s="1509"/>
    </row>
    <row r="7" spans="2:9" ht="13.8" thickBot="1"/>
    <row r="8" spans="2:9" ht="36" customHeight="1" thickTop="1" thickBot="1">
      <c r="B8" s="1553" t="s">
        <v>124</v>
      </c>
      <c r="C8" s="1553"/>
      <c r="D8" s="1553"/>
      <c r="E8" s="1553"/>
      <c r="F8" s="1554"/>
      <c r="G8" s="1455" t="s">
        <v>125</v>
      </c>
      <c r="H8" s="816" t="s">
        <v>126</v>
      </c>
    </row>
    <row r="9" spans="2:9" ht="21" customHeight="1" thickTop="1">
      <c r="B9" s="794" t="s">
        <v>3546</v>
      </c>
      <c r="G9" s="66">
        <f>+'8-Trial Bal-Gen Cap Fund'!G44</f>
        <v>24196482.489999998</v>
      </c>
      <c r="H9" s="64">
        <f>+'8-Trial Bal-Gen Cap Fund'!H44</f>
        <v>0</v>
      </c>
      <c r="I9" s="325"/>
    </row>
    <row r="10" spans="2:9" ht="21" customHeight="1">
      <c r="B10" s="857"/>
      <c r="C10" s="1563"/>
      <c r="D10" s="1563"/>
      <c r="E10" s="1563"/>
      <c r="F10" s="1564"/>
      <c r="G10" s="664"/>
      <c r="H10" s="582"/>
      <c r="I10" s="325"/>
    </row>
    <row r="11" spans="2:9" ht="21" customHeight="1">
      <c r="B11" s="839"/>
      <c r="C11" s="1563"/>
      <c r="D11" s="1563"/>
      <c r="E11" s="1563"/>
      <c r="F11" s="1564"/>
      <c r="G11" s="636"/>
      <c r="H11" s="880"/>
    </row>
    <row r="12" spans="2:9" ht="21" customHeight="1">
      <c r="B12" s="640"/>
      <c r="C12" s="1563"/>
      <c r="D12" s="1563"/>
      <c r="E12" s="1563"/>
      <c r="F12" s="1564"/>
      <c r="G12" s="881"/>
      <c r="H12" s="727"/>
      <c r="I12" s="742"/>
    </row>
    <row r="13" spans="2:9" ht="21" customHeight="1">
      <c r="B13" s="640"/>
      <c r="C13" s="1563"/>
      <c r="D13" s="1563"/>
      <c r="E13" s="1563"/>
      <c r="F13" s="1564"/>
      <c r="G13" s="372"/>
      <c r="H13" s="568"/>
    </row>
    <row r="14" spans="2:9" ht="21" customHeight="1">
      <c r="B14" s="640"/>
      <c r="C14" s="1563"/>
      <c r="D14" s="1563"/>
      <c r="E14" s="1563"/>
      <c r="F14" s="1564"/>
      <c r="G14" s="591"/>
      <c r="H14" s="568"/>
      <c r="I14" s="325"/>
    </row>
    <row r="15" spans="2:9" ht="21" customHeight="1">
      <c r="B15" s="640"/>
      <c r="C15" s="1563"/>
      <c r="D15" s="1563"/>
      <c r="E15" s="1563"/>
      <c r="F15" s="1564"/>
      <c r="G15" s="372"/>
      <c r="H15" s="568"/>
      <c r="I15" s="325"/>
    </row>
    <row r="16" spans="2:9" ht="21" customHeight="1">
      <c r="B16" s="640"/>
      <c r="C16" s="1563"/>
      <c r="D16" s="1563"/>
      <c r="E16" s="1563"/>
      <c r="F16" s="1564"/>
      <c r="G16" s="372"/>
      <c r="H16" s="568"/>
      <c r="I16" s="325"/>
    </row>
    <row r="17" spans="2:11" ht="21" customHeight="1">
      <c r="B17" s="640"/>
      <c r="C17" s="1563"/>
      <c r="D17" s="1563"/>
      <c r="E17" s="1563"/>
      <c r="F17" s="1564"/>
      <c r="G17" s="372"/>
      <c r="H17" s="568"/>
    </row>
    <row r="18" spans="2:11" ht="21" customHeight="1">
      <c r="B18" s="640"/>
      <c r="C18" s="1563"/>
      <c r="D18" s="1563"/>
      <c r="E18" s="1563"/>
      <c r="F18" s="1564"/>
      <c r="G18" s="591"/>
      <c r="H18" s="568"/>
      <c r="I18" s="741"/>
    </row>
    <row r="19" spans="2:11" ht="21" customHeight="1">
      <c r="B19" s="640"/>
      <c r="C19" s="1563"/>
      <c r="D19" s="1563"/>
      <c r="E19" s="1563"/>
      <c r="F19" s="1564"/>
      <c r="G19" s="726"/>
      <c r="H19" s="727"/>
      <c r="I19" s="325"/>
      <c r="J19" s="325"/>
      <c r="K19" s="325"/>
    </row>
    <row r="20" spans="2:11" ht="21" customHeight="1">
      <c r="B20" s="640"/>
      <c r="C20" s="1563"/>
      <c r="D20" s="1563"/>
      <c r="E20" s="1563"/>
      <c r="F20" s="1564"/>
      <c r="G20" s="372"/>
      <c r="H20" s="568"/>
    </row>
    <row r="21" spans="2:11" ht="21" customHeight="1">
      <c r="B21" s="383"/>
      <c r="C21" s="383" t="s">
        <v>545</v>
      </c>
      <c r="D21" s="383"/>
      <c r="E21" s="383"/>
      <c r="F21" s="383"/>
      <c r="G21" s="873"/>
      <c r="H21" s="874">
        <f>+'33 Totals-Note Debt Service'!G23</f>
        <v>5151000</v>
      </c>
      <c r="I21" s="712"/>
    </row>
    <row r="22" spans="2:11" ht="21" customHeight="1">
      <c r="B22" s="383"/>
      <c r="C22" s="875" t="s">
        <v>3478</v>
      </c>
      <c r="D22" s="383"/>
      <c r="E22" s="383"/>
      <c r="F22" s="383"/>
      <c r="G22" s="876"/>
      <c r="H22" s="877">
        <f>'31-Capital Bond Schedule'!G12</f>
        <v>14310000</v>
      </c>
      <c r="I22" s="712"/>
    </row>
    <row r="23" spans="2:11" ht="21" customHeight="1">
      <c r="B23" s="383"/>
      <c r="C23" s="878" t="s">
        <v>3479</v>
      </c>
      <c r="D23" s="845"/>
      <c r="E23" s="845"/>
      <c r="F23" s="383"/>
      <c r="G23" s="873"/>
      <c r="H23" s="879">
        <f>'32-Bond Schedule'!G11+'32-Bond Schedule'!G22</f>
        <v>0</v>
      </c>
      <c r="I23" s="710"/>
    </row>
    <row r="24" spans="2:11" ht="21" customHeight="1">
      <c r="B24" s="640"/>
      <c r="C24" s="843" t="s">
        <v>3678</v>
      </c>
      <c r="D24" s="640"/>
      <c r="E24" s="640"/>
      <c r="F24" s="640"/>
      <c r="G24" s="906"/>
      <c r="H24" s="907">
        <f>+'31A-Loan Schedule'!G12+'31A-Loan Schedule'!G23+'31A.1-Loan Schedule'!G12+'31A.2-Loan Schedule'!G12+'31A.2-Loan Schedule'!G23</f>
        <v>931615.12000000011</v>
      </c>
    </row>
    <row r="25" spans="2:11" ht="21" customHeight="1">
      <c r="B25" s="640"/>
      <c r="C25" s="843" t="s">
        <v>3688</v>
      </c>
      <c r="D25" s="640"/>
      <c r="E25" s="640"/>
      <c r="F25" s="640"/>
      <c r="G25" s="911"/>
      <c r="H25" s="912">
        <f>'34a-Cap Lease Program Oblg'!G23</f>
        <v>0</v>
      </c>
    </row>
    <row r="26" spans="2:11" ht="21" customHeight="1">
      <c r="B26" s="640"/>
      <c r="C26" s="1563"/>
      <c r="D26" s="1563"/>
      <c r="E26" s="1563"/>
      <c r="F26" s="1564"/>
      <c r="G26" s="372"/>
      <c r="H26" s="568"/>
    </row>
    <row r="27" spans="2:11" ht="21" customHeight="1">
      <c r="B27" s="640"/>
      <c r="C27" s="1563" t="s">
        <v>3828</v>
      </c>
      <c r="D27" s="1563"/>
      <c r="E27" s="1563"/>
      <c r="F27" s="1564"/>
      <c r="G27" s="372"/>
      <c r="H27" s="568"/>
    </row>
    <row r="28" spans="2:11" ht="21" customHeight="1">
      <c r="B28" s="383"/>
      <c r="C28" s="566" t="s">
        <v>574</v>
      </c>
      <c r="D28" s="566"/>
      <c r="E28" s="566"/>
      <c r="F28" s="566"/>
      <c r="G28" s="372"/>
      <c r="H28" s="568">
        <v>27942</v>
      </c>
      <c r="I28" s="325"/>
    </row>
    <row r="29" spans="2:11" ht="21" customHeight="1">
      <c r="B29" s="383"/>
      <c r="C29" s="1563" t="s">
        <v>3827</v>
      </c>
      <c r="D29" s="1563"/>
      <c r="E29" s="1563"/>
      <c r="F29" s="1564"/>
      <c r="G29" s="591"/>
      <c r="H29" s="729">
        <v>50000</v>
      </c>
      <c r="I29" s="325"/>
    </row>
    <row r="30" spans="2:11" ht="21" customHeight="1">
      <c r="B30" s="383"/>
      <c r="C30" s="1563" t="s">
        <v>3829</v>
      </c>
      <c r="D30" s="1563"/>
      <c r="E30" s="1563"/>
      <c r="F30" s="1564"/>
      <c r="G30" s="726"/>
      <c r="H30" s="727">
        <v>45849.05</v>
      </c>
      <c r="I30" s="325"/>
    </row>
    <row r="31" spans="2:11" ht="21" customHeight="1">
      <c r="B31" s="383"/>
      <c r="C31" s="1563"/>
      <c r="D31" s="1563"/>
      <c r="E31" s="1563"/>
      <c r="F31" s="1564"/>
      <c r="G31" s="372"/>
      <c r="H31" s="568"/>
    </row>
    <row r="32" spans="2:11" ht="21" customHeight="1">
      <c r="B32" s="383"/>
      <c r="C32" s="323" t="s">
        <v>1004</v>
      </c>
      <c r="D32" s="323"/>
      <c r="E32" s="323"/>
      <c r="F32" s="323"/>
      <c r="G32" s="335"/>
      <c r="H32" s="336"/>
    </row>
    <row r="33" spans="2:9" ht="21" customHeight="1">
      <c r="B33" s="383"/>
      <c r="C33" s="323"/>
      <c r="D33" s="323" t="s">
        <v>1001</v>
      </c>
      <c r="E33" s="323"/>
      <c r="F33" s="323"/>
      <c r="G33" s="372"/>
      <c r="H33" s="336">
        <f>+'35 Totals- Cap Fund Imprv Auth'!K28</f>
        <v>1369043.0199999998</v>
      </c>
      <c r="I33" s="712"/>
    </row>
    <row r="34" spans="2:9" ht="21" customHeight="1">
      <c r="B34" s="383"/>
      <c r="C34" s="323"/>
      <c r="D34" s="323" t="s">
        <v>1002</v>
      </c>
      <c r="E34" s="323"/>
      <c r="F34" s="323"/>
      <c r="G34" s="726"/>
      <c r="H34" s="336">
        <f>+'35 Totals- Cap Fund Imprv Auth'!L28</f>
        <v>1720608.0699999998</v>
      </c>
      <c r="I34" s="712"/>
    </row>
    <row r="35" spans="2:9" ht="21" customHeight="1">
      <c r="B35" s="383"/>
      <c r="C35" s="1563"/>
      <c r="D35" s="1563"/>
      <c r="E35" s="1563"/>
      <c r="F35" s="1564"/>
      <c r="G35" s="372"/>
      <c r="H35" s="568"/>
    </row>
    <row r="36" spans="2:9" ht="21" customHeight="1">
      <c r="B36" s="383"/>
      <c r="C36" s="326" t="s">
        <v>996</v>
      </c>
      <c r="D36" s="323"/>
      <c r="E36" s="323"/>
      <c r="F36" s="323"/>
      <c r="G36" s="726"/>
      <c r="H36" s="727"/>
      <c r="I36" s="325"/>
    </row>
    <row r="37" spans="2:9" ht="21" customHeight="1">
      <c r="B37" s="383"/>
      <c r="C37" s="1563"/>
      <c r="D37" s="1563"/>
      <c r="E37" s="1563"/>
      <c r="F37" s="1564"/>
      <c r="G37" s="372"/>
      <c r="H37" s="568"/>
    </row>
    <row r="38" spans="2:9" ht="21" customHeight="1">
      <c r="B38" s="383"/>
      <c r="C38" s="326" t="s">
        <v>414</v>
      </c>
      <c r="D38" s="323"/>
      <c r="E38" s="323"/>
      <c r="F38" s="323"/>
      <c r="G38" s="372"/>
      <c r="H38" s="729"/>
      <c r="I38" s="325"/>
    </row>
    <row r="39" spans="2:9" ht="21" customHeight="1">
      <c r="B39" s="383"/>
      <c r="C39" s="323" t="s">
        <v>1005</v>
      </c>
      <c r="D39" s="323"/>
      <c r="E39" s="323"/>
      <c r="F39" s="323"/>
      <c r="G39" s="372"/>
      <c r="H39" s="336">
        <f>+'36- Capital Improvement Fund'!I31</f>
        <v>419866.72</v>
      </c>
      <c r="I39" s="712"/>
    </row>
    <row r="40" spans="2:9" ht="21" customHeight="1">
      <c r="B40" s="383"/>
      <c r="C40" s="732" t="s">
        <v>3480</v>
      </c>
      <c r="D40" s="724"/>
      <c r="E40" s="724"/>
      <c r="F40" s="724"/>
      <c r="G40" s="873"/>
      <c r="H40" s="879">
        <f>'37- Cap Fund Down Pymts'!I15</f>
        <v>0</v>
      </c>
      <c r="I40" s="710"/>
    </row>
    <row r="41" spans="2:9" ht="21" customHeight="1">
      <c r="B41" s="383"/>
      <c r="C41" s="1563"/>
      <c r="D41" s="1563"/>
      <c r="E41" s="1563"/>
      <c r="F41" s="1564"/>
      <c r="G41" s="374"/>
      <c r="H41" s="660"/>
      <c r="I41" s="325"/>
    </row>
    <row r="42" spans="2:9" ht="21" customHeight="1">
      <c r="B42" s="383"/>
      <c r="C42" s="1563"/>
      <c r="D42" s="1563"/>
      <c r="E42" s="1563"/>
      <c r="F42" s="1564"/>
      <c r="G42" s="372"/>
      <c r="H42" s="568"/>
    </row>
    <row r="43" spans="2:9" ht="21" customHeight="1" thickBot="1">
      <c r="B43" s="383"/>
      <c r="C43" s="323" t="s">
        <v>807</v>
      </c>
      <c r="D43" s="323"/>
      <c r="E43" s="323"/>
      <c r="F43" s="323"/>
      <c r="G43" s="586"/>
      <c r="H43" s="237">
        <f>+'38- Capital Surplus'!I17</f>
        <v>170558.51</v>
      </c>
      <c r="I43" s="710"/>
    </row>
    <row r="44" spans="2:9" ht="21" customHeight="1" thickBot="1">
      <c r="B44" s="383"/>
      <c r="C44" s="323"/>
      <c r="D44" s="323"/>
      <c r="E44" s="323"/>
      <c r="F44" s="323"/>
      <c r="G44" s="219">
        <f>SUM(G9:G43)</f>
        <v>24196482.489999998</v>
      </c>
      <c r="H44" s="220">
        <f>SUM(H9:H43)</f>
        <v>24196482.490000002</v>
      </c>
      <c r="I44" s="325"/>
    </row>
    <row r="45" spans="2:9" ht="13.8" thickTop="1">
      <c r="B45" s="1511" t="s">
        <v>127</v>
      </c>
      <c r="C45" s="1511"/>
      <c r="D45" s="1511"/>
      <c r="E45" s="1511"/>
      <c r="F45" s="1511"/>
      <c r="G45" s="1511"/>
      <c r="H45" s="1511"/>
    </row>
    <row r="46" spans="2:9">
      <c r="B46" s="814"/>
      <c r="C46" s="814"/>
      <c r="D46" s="814"/>
      <c r="E46" s="814"/>
      <c r="F46" s="814"/>
      <c r="G46" s="814"/>
      <c r="H46" s="814"/>
    </row>
    <row r="48" spans="2:9" ht="13.8">
      <c r="B48" s="1507" t="s">
        <v>3661</v>
      </c>
      <c r="C48" s="1507"/>
      <c r="D48" s="1507"/>
      <c r="E48" s="1507"/>
      <c r="F48" s="1507"/>
      <c r="G48" s="1507"/>
      <c r="H48" s="1507"/>
    </row>
    <row r="50" spans="8:8">
      <c r="H50" s="325"/>
    </row>
    <row r="51" spans="8:8">
      <c r="H51" s="325"/>
    </row>
  </sheetData>
  <sheetProtection password="CAF9" sheet="1" objects="1" scenarios="1"/>
  <customSheetViews>
    <customSheetView guid="{AC653BD0-46E3-42CB-9C76-32121A57B65A}" topLeftCell="A4">
      <selection activeCell="H22" sqref="H22"/>
      <pageMargins left="0.25" right="0.25" top="0.5" bottom="0.5" header="0.25" footer="0.25"/>
      <pageSetup paperSize="5" orientation="portrait" r:id="rId1"/>
      <headerFooter alignWithMargins="0"/>
    </customSheetView>
    <customSheetView guid="{B165479B-DC25-403C-9595-F1A88A4AA9A2}" topLeftCell="A34">
      <selection activeCell="H28" sqref="H28"/>
      <pageMargins left="0.25" right="0.25" top="0.5" bottom="0.5" header="0.25" footer="0.25"/>
      <pageSetup paperSize="5" orientation="portrait" r:id="rId2"/>
      <headerFooter alignWithMargins="0"/>
    </customSheetView>
    <customSheetView guid="{A64E4C9E-A3DA-4AAA-8607-F524450B9436}" topLeftCell="A34">
      <selection activeCell="H28" sqref="H28"/>
      <pageMargins left="0.25" right="0.25" top="0.5" bottom="0.5" header="0.25" footer="0.25"/>
      <pageSetup paperSize="5" orientation="portrait" r:id="rId3"/>
      <headerFooter alignWithMargins="0"/>
    </customSheetView>
    <customSheetView guid="{AB4FBD91-4533-473A-9702-569FF6402073}">
      <selection activeCell="J16" sqref="J16"/>
      <pageMargins left="0.25" right="0.25" top="0.5" bottom="0.5" header="0.25" footer="0.25"/>
      <pageSetup paperSize="5" orientation="portrait" r:id="rId4"/>
      <headerFooter alignWithMargins="0"/>
    </customSheetView>
  </customSheetViews>
  <mergeCells count="27">
    <mergeCell ref="C42:F42"/>
    <mergeCell ref="C30:F30"/>
    <mergeCell ref="C31:F31"/>
    <mergeCell ref="C35:F35"/>
    <mergeCell ref="C37:F37"/>
    <mergeCell ref="C41:F41"/>
    <mergeCell ref="C19:F19"/>
    <mergeCell ref="C20:F20"/>
    <mergeCell ref="C26:F26"/>
    <mergeCell ref="C27:F27"/>
    <mergeCell ref="C29:F29"/>
    <mergeCell ref="B48:H48"/>
    <mergeCell ref="B3:H3"/>
    <mergeCell ref="B4:H4"/>
    <mergeCell ref="B5:H5"/>
    <mergeCell ref="B6:H6"/>
    <mergeCell ref="B8:F8"/>
    <mergeCell ref="B45:H45"/>
    <mergeCell ref="C10:F10"/>
    <mergeCell ref="C11:F11"/>
    <mergeCell ref="C12:F12"/>
    <mergeCell ref="C13:F13"/>
    <mergeCell ref="C14:F14"/>
    <mergeCell ref="C15:F15"/>
    <mergeCell ref="C16:F16"/>
    <mergeCell ref="C17:F17"/>
    <mergeCell ref="C18:F18"/>
  </mergeCells>
  <pageMargins left="0.25" right="0.25" top="0.5" bottom="0.5" header="0.25" footer="0.25"/>
  <pageSetup paperSize="5" scale="77" orientation="portrait" r:id="rId5"/>
  <headerFooter alignWithMargins="0"/>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Sheet279">
    <tabColor theme="3" tint="0.79998168889431442"/>
  </sheetPr>
  <dimension ref="B1:W69"/>
  <sheetViews>
    <sheetView zoomScaleNormal="100" zoomScaleSheetLayoutView="80" workbookViewId="0">
      <selection activeCell="B1" sqref="B1"/>
    </sheetView>
  </sheetViews>
  <sheetFormatPr defaultColWidth="9.109375" defaultRowHeight="13.2"/>
  <cols>
    <col min="1" max="4" width="4.6640625" style="331" customWidth="1"/>
    <col min="5" max="6" width="9.109375" style="331"/>
    <col min="7" max="7" width="1.6640625" style="331" customWidth="1"/>
    <col min="8" max="8" width="14.6640625" style="331" customWidth="1"/>
    <col min="9" max="9" width="1.6640625" style="331" customWidth="1"/>
    <col min="10" max="10" width="14.6640625" style="331" customWidth="1"/>
    <col min="11" max="11" width="1.6640625" style="331" customWidth="1"/>
    <col min="12" max="12" width="14.6640625" style="331" customWidth="1"/>
    <col min="13" max="13" width="1.6640625" style="331" customWidth="1"/>
    <col min="14" max="14" width="14.6640625" style="331" customWidth="1"/>
    <col min="15" max="16384" width="9.109375" style="331"/>
  </cols>
  <sheetData>
    <row r="1" spans="2:23">
      <c r="B1" s="1146"/>
      <c r="C1" s="1146"/>
      <c r="D1" s="1146"/>
      <c r="E1" s="1146"/>
      <c r="F1" s="1146"/>
      <c r="G1" s="1146"/>
      <c r="H1" s="1146"/>
      <c r="I1" s="1146"/>
      <c r="J1" s="1146"/>
      <c r="K1" s="1146"/>
      <c r="L1" s="1146"/>
      <c r="M1" s="1146"/>
      <c r="N1" s="1146"/>
    </row>
    <row r="2" spans="2:23">
      <c r="B2" s="1146"/>
      <c r="C2" s="1146"/>
      <c r="D2" s="1146"/>
      <c r="E2" s="1146"/>
      <c r="F2" s="1146"/>
      <c r="G2" s="1146"/>
      <c r="H2" s="1146"/>
      <c r="I2" s="1146"/>
      <c r="J2" s="1146"/>
      <c r="K2" s="1146"/>
      <c r="L2" s="1146"/>
      <c r="M2" s="1146"/>
      <c r="N2" s="1146"/>
    </row>
    <row r="3" spans="2:23" ht="20.399999999999999">
      <c r="B3" s="1870" t="s">
        <v>1129</v>
      </c>
      <c r="C3" s="1870"/>
      <c r="D3" s="1870"/>
      <c r="E3" s="1870"/>
      <c r="F3" s="1870"/>
      <c r="G3" s="1870"/>
      <c r="H3" s="1870"/>
      <c r="I3" s="1870"/>
      <c r="J3" s="1870"/>
      <c r="K3" s="1870"/>
      <c r="L3" s="1870"/>
      <c r="M3" s="1870"/>
      <c r="N3" s="1870"/>
    </row>
    <row r="4" spans="2:23" ht="15.6">
      <c r="B4" s="1928" t="s">
        <v>540</v>
      </c>
      <c r="C4" s="1928"/>
      <c r="D4" s="1928"/>
      <c r="E4" s="1928"/>
      <c r="F4" s="1928"/>
      <c r="G4" s="1928"/>
      <c r="H4" s="1928"/>
      <c r="I4" s="1928"/>
      <c r="J4" s="1928"/>
      <c r="K4" s="1928"/>
      <c r="L4" s="1928"/>
      <c r="M4" s="1928"/>
      <c r="N4" s="1928"/>
    </row>
    <row r="5" spans="2:23" ht="20.399999999999999">
      <c r="B5" s="1788" t="str">
        <f>UPPER('KEY INPUTS'!D57)&amp;" UTILITY  FUND"</f>
        <v xml:space="preserve"> UTILITY  FUND</v>
      </c>
      <c r="C5" s="1788"/>
      <c r="D5" s="1788"/>
      <c r="E5" s="1788"/>
      <c r="F5" s="1788"/>
      <c r="G5" s="1788"/>
      <c r="H5" s="1788"/>
      <c r="I5" s="1788"/>
      <c r="J5" s="1788"/>
      <c r="K5" s="1788"/>
      <c r="L5" s="1788"/>
      <c r="M5" s="1788"/>
      <c r="N5" s="1788"/>
    </row>
    <row r="6" spans="2:23">
      <c r="B6" s="1929" t="s">
        <v>283</v>
      </c>
      <c r="C6" s="1929"/>
      <c r="D6" s="1929"/>
      <c r="E6" s="1929"/>
      <c r="F6" s="1929"/>
      <c r="G6" s="1929"/>
      <c r="H6" s="1929"/>
      <c r="I6" s="1929"/>
      <c r="J6" s="1929"/>
      <c r="K6" s="1929"/>
      <c r="L6" s="1929"/>
      <c r="M6" s="1929"/>
      <c r="N6" s="1929"/>
    </row>
    <row r="7" spans="2:23">
      <c r="B7" s="1146"/>
      <c r="C7" s="1146"/>
      <c r="D7" s="1146"/>
      <c r="E7" s="1146"/>
      <c r="F7" s="1146"/>
      <c r="G7" s="1146"/>
      <c r="H7" s="1146"/>
      <c r="I7" s="1146"/>
      <c r="J7" s="1146"/>
      <c r="K7" s="1146"/>
      <c r="L7" s="1146"/>
      <c r="M7" s="1146"/>
      <c r="N7" s="1146"/>
    </row>
    <row r="8" spans="2:23">
      <c r="B8" s="1146"/>
      <c r="C8" s="1146"/>
      <c r="D8" s="1146"/>
      <c r="E8" s="1146"/>
      <c r="F8" s="1146"/>
      <c r="G8" s="1146"/>
      <c r="H8" s="1141" t="s">
        <v>533</v>
      </c>
      <c r="I8" s="1146"/>
      <c r="J8" s="1146"/>
      <c r="K8" s="1146"/>
      <c r="L8" s="1146"/>
      <c r="M8" s="1146"/>
      <c r="N8" s="1146"/>
    </row>
    <row r="9" spans="2:23">
      <c r="B9" s="1146"/>
      <c r="C9" s="1930" t="s">
        <v>553</v>
      </c>
      <c r="D9" s="1930"/>
      <c r="E9" s="1930"/>
      <c r="F9" s="1146"/>
      <c r="G9" s="1146"/>
      <c r="H9" s="1344" t="str">
        <f>'KEY INPUTS'!D45</f>
        <v>Dec. 31, 2018</v>
      </c>
      <c r="I9" s="1146"/>
      <c r="J9" s="1141" t="s">
        <v>554</v>
      </c>
      <c r="K9" s="1146"/>
      <c r="L9" s="1141" t="s">
        <v>533</v>
      </c>
      <c r="M9" s="1146"/>
      <c r="N9" s="1141" t="s">
        <v>671</v>
      </c>
    </row>
    <row r="10" spans="2:23">
      <c r="B10" s="1146"/>
      <c r="C10" s="1146"/>
      <c r="D10" s="1146"/>
      <c r="E10" s="1146"/>
      <c r="F10" s="1146"/>
      <c r="G10" s="1146"/>
      <c r="H10" s="1141" t="s">
        <v>552</v>
      </c>
      <c r="I10" s="1146"/>
      <c r="J10" s="1141">
        <f>'KEY INPUTS'!D34</f>
        <v>2019</v>
      </c>
      <c r="K10" s="1146"/>
      <c r="L10" s="1141" t="s">
        <v>555</v>
      </c>
      <c r="M10" s="1146"/>
      <c r="N10" s="1141" t="s">
        <v>556</v>
      </c>
    </row>
    <row r="11" spans="2:23">
      <c r="B11" s="1146"/>
      <c r="C11" s="1146"/>
      <c r="D11" s="1146"/>
      <c r="E11" s="1146"/>
      <c r="F11" s="1146"/>
      <c r="G11" s="1146"/>
      <c r="H11" s="1345" t="s">
        <v>551</v>
      </c>
      <c r="I11" s="1146"/>
      <c r="J11" s="1345" t="s">
        <v>676</v>
      </c>
      <c r="K11" s="1146"/>
      <c r="L11" s="1345">
        <f>'KEY INPUTS'!D34</f>
        <v>2019</v>
      </c>
      <c r="M11" s="1146"/>
      <c r="N11" s="1346" t="str">
        <f>'KEY INPUTS'!D46</f>
        <v>Dec. 31, 2019</v>
      </c>
      <c r="Q11" s="322"/>
      <c r="R11" s="322"/>
      <c r="S11" s="322"/>
      <c r="T11" s="322"/>
      <c r="U11" s="322"/>
      <c r="V11" s="322"/>
      <c r="W11" s="322"/>
    </row>
    <row r="12" spans="2:23">
      <c r="B12" s="1347" t="s">
        <v>384</v>
      </c>
      <c r="C12" s="1146" t="s">
        <v>1130</v>
      </c>
      <c r="D12" s="1146"/>
      <c r="E12" s="1146"/>
      <c r="F12" s="1146"/>
      <c r="G12" s="1146"/>
      <c r="H12" s="1146"/>
      <c r="I12" s="1146"/>
      <c r="J12" s="1146"/>
      <c r="K12" s="1146"/>
      <c r="L12" s="1146"/>
      <c r="M12" s="1146"/>
      <c r="N12" s="1146"/>
      <c r="Q12" s="322"/>
      <c r="R12" s="322"/>
      <c r="S12" s="322"/>
      <c r="T12" s="322"/>
      <c r="U12" s="322"/>
      <c r="V12" s="322"/>
      <c r="W12" s="322"/>
    </row>
    <row r="13" spans="2:23">
      <c r="B13" s="481"/>
      <c r="D13" s="331" t="s">
        <v>1131</v>
      </c>
      <c r="G13" s="331" t="s">
        <v>482</v>
      </c>
      <c r="H13" s="580"/>
      <c r="I13" s="331" t="s">
        <v>482</v>
      </c>
      <c r="J13" s="580"/>
      <c r="K13" s="331" t="s">
        <v>482</v>
      </c>
      <c r="L13" s="580"/>
      <c r="M13" s="331" t="s">
        <v>482</v>
      </c>
      <c r="N13" s="670">
        <f>+H13-J13+L13</f>
        <v>0</v>
      </c>
      <c r="Q13" s="377"/>
      <c r="R13" s="322"/>
      <c r="S13" s="322"/>
      <c r="T13" s="322"/>
      <c r="U13" s="322"/>
      <c r="V13" s="322"/>
      <c r="W13" s="322"/>
    </row>
    <row r="14" spans="2:23">
      <c r="B14" s="481"/>
      <c r="H14" s="287"/>
      <c r="J14" s="287"/>
      <c r="L14" s="287"/>
      <c r="Q14" s="322"/>
      <c r="R14" s="322"/>
      <c r="S14" s="322"/>
      <c r="T14" s="322"/>
      <c r="U14" s="322"/>
      <c r="V14" s="322"/>
      <c r="W14" s="322"/>
    </row>
    <row r="15" spans="2:23" ht="21" customHeight="1">
      <c r="B15" s="481" t="s">
        <v>385</v>
      </c>
      <c r="C15" s="669" t="s">
        <v>3406</v>
      </c>
      <c r="D15" s="668"/>
      <c r="E15" s="668"/>
      <c r="F15" s="668"/>
      <c r="G15" s="331" t="s">
        <v>482</v>
      </c>
      <c r="H15" s="580"/>
      <c r="I15" s="331" t="s">
        <v>482</v>
      </c>
      <c r="J15" s="580"/>
      <c r="K15" s="331" t="s">
        <v>482</v>
      </c>
      <c r="L15" s="580"/>
      <c r="M15" s="331" t="s">
        <v>482</v>
      </c>
      <c r="N15" s="1224">
        <f>+H15-J15+L15</f>
        <v>0</v>
      </c>
      <c r="Q15" s="322"/>
      <c r="R15" s="322"/>
      <c r="S15" s="322"/>
      <c r="T15" s="322"/>
      <c r="U15" s="322"/>
      <c r="V15" s="322"/>
      <c r="W15" s="322"/>
    </row>
    <row r="16" spans="2:23" ht="21" customHeight="1">
      <c r="B16" s="481" t="s">
        <v>386</v>
      </c>
      <c r="C16" s="668"/>
      <c r="D16" s="668"/>
      <c r="E16" s="668"/>
      <c r="F16" s="668"/>
      <c r="G16" s="331" t="s">
        <v>482</v>
      </c>
      <c r="H16" s="580"/>
      <c r="I16" s="331" t="s">
        <v>482</v>
      </c>
      <c r="J16" s="580"/>
      <c r="K16" s="331" t="s">
        <v>482</v>
      </c>
      <c r="L16" s="580"/>
      <c r="M16" s="331" t="s">
        <v>482</v>
      </c>
      <c r="N16" s="1224">
        <f>+H16-J16+L16</f>
        <v>0</v>
      </c>
      <c r="Q16" s="322"/>
      <c r="R16" s="322"/>
      <c r="S16" s="322"/>
      <c r="T16" s="322"/>
      <c r="U16" s="322"/>
      <c r="V16" s="322"/>
      <c r="W16" s="322"/>
    </row>
    <row r="17" spans="2:23" ht="21" customHeight="1">
      <c r="B17" s="481" t="s">
        <v>387</v>
      </c>
      <c r="C17" s="668"/>
      <c r="D17" s="668"/>
      <c r="E17" s="668"/>
      <c r="F17" s="668"/>
      <c r="G17" s="331" t="s">
        <v>482</v>
      </c>
      <c r="H17" s="580"/>
      <c r="I17" s="331" t="s">
        <v>482</v>
      </c>
      <c r="J17" s="580"/>
      <c r="K17" s="331" t="s">
        <v>482</v>
      </c>
      <c r="L17" s="580"/>
      <c r="M17" s="331" t="s">
        <v>482</v>
      </c>
      <c r="N17" s="1224">
        <f t="shared" ref="N17:N23" si="0">+H17-J17+L17</f>
        <v>0</v>
      </c>
      <c r="Q17" s="322"/>
      <c r="R17" s="322"/>
      <c r="S17" s="322"/>
      <c r="T17" s="322"/>
      <c r="U17" s="322"/>
      <c r="V17" s="322"/>
      <c r="W17" s="322"/>
    </row>
    <row r="18" spans="2:23" ht="21" customHeight="1">
      <c r="B18" s="481" t="s">
        <v>388</v>
      </c>
      <c r="C18" s="668"/>
      <c r="D18" s="668"/>
      <c r="E18" s="668"/>
      <c r="F18" s="668"/>
      <c r="G18" s="331" t="s">
        <v>482</v>
      </c>
      <c r="H18" s="580"/>
      <c r="I18" s="331" t="s">
        <v>482</v>
      </c>
      <c r="J18" s="580"/>
      <c r="K18" s="331" t="s">
        <v>482</v>
      </c>
      <c r="L18" s="580"/>
      <c r="M18" s="331" t="s">
        <v>482</v>
      </c>
      <c r="N18" s="1224">
        <f t="shared" si="0"/>
        <v>0</v>
      </c>
      <c r="Q18" s="322"/>
      <c r="R18" s="322"/>
      <c r="S18" s="322"/>
      <c r="T18" s="322"/>
      <c r="U18" s="322"/>
      <c r="V18" s="322"/>
      <c r="W18" s="322"/>
    </row>
    <row r="19" spans="2:23" ht="21" customHeight="1">
      <c r="B19" s="481"/>
      <c r="C19" s="1226" t="s">
        <v>3488</v>
      </c>
      <c r="D19" s="1226"/>
      <c r="E19" s="1226"/>
      <c r="F19" s="1226"/>
      <c r="G19" s="740" t="s">
        <v>482</v>
      </c>
      <c r="H19" s="580"/>
      <c r="I19" s="740" t="s">
        <v>482</v>
      </c>
      <c r="J19" s="580"/>
      <c r="K19" s="740" t="s">
        <v>482</v>
      </c>
      <c r="L19" s="580"/>
      <c r="M19" s="331" t="s">
        <v>482</v>
      </c>
      <c r="N19" s="1224">
        <f t="shared" si="0"/>
        <v>0</v>
      </c>
      <c r="Q19" s="322"/>
      <c r="R19" s="322"/>
      <c r="S19" s="322"/>
      <c r="T19" s="322"/>
      <c r="U19" s="322"/>
      <c r="V19" s="322"/>
      <c r="W19" s="322"/>
    </row>
    <row r="20" spans="2:23" ht="21" customHeight="1">
      <c r="B20" s="481"/>
      <c r="C20" s="1348" t="s">
        <v>3489</v>
      </c>
      <c r="D20" s="1226"/>
      <c r="E20" s="1226"/>
      <c r="F20" s="1226"/>
      <c r="G20" s="740" t="s">
        <v>482</v>
      </c>
      <c r="H20" s="1225">
        <f>H13+H15+H16+H17+H18+H19</f>
        <v>0</v>
      </c>
      <c r="I20" s="740" t="s">
        <v>482</v>
      </c>
      <c r="J20" s="1225">
        <f>J13+J15+J16+J17+J18+J19</f>
        <v>0</v>
      </c>
      <c r="K20" s="740" t="s">
        <v>482</v>
      </c>
      <c r="L20" s="1225">
        <f>L13+L15+L16+L17+L18+L19</f>
        <v>0</v>
      </c>
      <c r="M20" s="331" t="s">
        <v>482</v>
      </c>
      <c r="N20" s="1225">
        <f>N13+N15+N16+N17+N18+N19</f>
        <v>0</v>
      </c>
      <c r="Q20" s="322"/>
      <c r="R20" s="322"/>
      <c r="S20" s="322"/>
      <c r="T20" s="322"/>
      <c r="U20" s="322"/>
      <c r="V20" s="322"/>
      <c r="W20" s="322"/>
    </row>
    <row r="21" spans="2:23" ht="21" customHeight="1">
      <c r="B21" s="481" t="s">
        <v>389</v>
      </c>
      <c r="C21" s="668"/>
      <c r="D21" s="668"/>
      <c r="E21" s="668"/>
      <c r="F21" s="668"/>
      <c r="G21" s="331" t="s">
        <v>482</v>
      </c>
      <c r="H21" s="580"/>
      <c r="I21" s="331" t="s">
        <v>482</v>
      </c>
      <c r="J21" s="580"/>
      <c r="K21" s="331" t="s">
        <v>482</v>
      </c>
      <c r="L21" s="580"/>
      <c r="M21" s="331" t="s">
        <v>482</v>
      </c>
      <c r="N21" s="1224">
        <f t="shared" si="0"/>
        <v>0</v>
      </c>
      <c r="Q21" s="322"/>
      <c r="R21" s="322"/>
      <c r="S21" s="322"/>
      <c r="T21" s="322"/>
      <c r="U21" s="322"/>
      <c r="V21" s="322"/>
      <c r="W21" s="322"/>
    </row>
    <row r="22" spans="2:23" ht="21" customHeight="1">
      <c r="B22" s="481" t="s">
        <v>390</v>
      </c>
      <c r="C22" s="668"/>
      <c r="D22" s="668"/>
      <c r="E22" s="668"/>
      <c r="F22" s="668"/>
      <c r="G22" s="331" t="s">
        <v>482</v>
      </c>
      <c r="H22" s="580"/>
      <c r="I22" s="331" t="s">
        <v>482</v>
      </c>
      <c r="J22" s="580"/>
      <c r="K22" s="331" t="s">
        <v>482</v>
      </c>
      <c r="L22" s="580"/>
      <c r="M22" s="331" t="s">
        <v>482</v>
      </c>
      <c r="N22" s="1224">
        <f t="shared" si="0"/>
        <v>0</v>
      </c>
      <c r="Q22" s="322"/>
      <c r="R22" s="322"/>
      <c r="S22" s="322"/>
      <c r="T22" s="322"/>
      <c r="U22" s="322"/>
      <c r="V22" s="322"/>
      <c r="W22" s="322"/>
    </row>
    <row r="23" spans="2:23" ht="21" customHeight="1">
      <c r="B23" s="481"/>
      <c r="C23" s="1348" t="s">
        <v>3781</v>
      </c>
      <c r="D23" s="1226"/>
      <c r="E23" s="1226"/>
      <c r="F23" s="1226"/>
      <c r="G23" s="740" t="s">
        <v>482</v>
      </c>
      <c r="H23" s="1225">
        <f>H21+H22</f>
        <v>0</v>
      </c>
      <c r="I23" s="740" t="s">
        <v>482</v>
      </c>
      <c r="J23" s="1225">
        <f>J21+J22</f>
        <v>0</v>
      </c>
      <c r="K23" s="740" t="s">
        <v>482</v>
      </c>
      <c r="L23" s="1225">
        <f>L21+L22</f>
        <v>0</v>
      </c>
      <c r="M23" s="331" t="s">
        <v>482</v>
      </c>
      <c r="N23" s="1224">
        <f t="shared" si="0"/>
        <v>0</v>
      </c>
      <c r="Q23" s="322"/>
      <c r="R23" s="322"/>
      <c r="S23" s="322"/>
      <c r="T23" s="322"/>
      <c r="U23" s="322"/>
      <c r="V23" s="322"/>
      <c r="W23" s="322"/>
    </row>
    <row r="24" spans="2:23">
      <c r="B24" s="481"/>
      <c r="Q24" s="322"/>
      <c r="R24" s="322"/>
      <c r="S24" s="322"/>
      <c r="T24" s="322"/>
      <c r="U24" s="322"/>
      <c r="V24" s="322"/>
      <c r="W24" s="322"/>
    </row>
    <row r="25" spans="2:23">
      <c r="B25" s="1347"/>
      <c r="C25" s="1146" t="s">
        <v>1133</v>
      </c>
      <c r="D25" s="1146"/>
      <c r="E25" s="1146"/>
      <c r="F25" s="1146"/>
      <c r="G25" s="1146"/>
      <c r="H25" s="1146"/>
      <c r="I25" s="1146"/>
      <c r="J25" s="1146"/>
      <c r="K25" s="1146"/>
      <c r="L25" s="1146"/>
      <c r="M25" s="1146"/>
      <c r="N25" s="1146"/>
      <c r="Q25" s="322"/>
      <c r="R25" s="322"/>
      <c r="S25" s="322"/>
      <c r="T25" s="322"/>
      <c r="U25" s="322"/>
      <c r="V25" s="322"/>
      <c r="W25" s="322"/>
    </row>
    <row r="26" spans="2:23">
      <c r="B26" s="1347"/>
      <c r="C26" s="1146"/>
      <c r="D26" s="1146"/>
      <c r="E26" s="1146"/>
      <c r="F26" s="1146"/>
      <c r="G26" s="1146"/>
      <c r="H26" s="1146"/>
      <c r="I26" s="1146"/>
      <c r="J26" s="1146"/>
      <c r="K26" s="1146"/>
      <c r="L26" s="1146"/>
      <c r="M26" s="1146"/>
      <c r="N26" s="1146"/>
      <c r="Q26" s="322"/>
      <c r="R26" s="322"/>
      <c r="S26" s="322"/>
      <c r="T26" s="322"/>
      <c r="U26" s="322"/>
      <c r="V26" s="322"/>
      <c r="W26" s="322"/>
    </row>
    <row r="27" spans="2:23">
      <c r="B27" s="1347"/>
      <c r="C27" s="1146"/>
      <c r="D27" s="1146"/>
      <c r="E27" s="1146"/>
      <c r="F27" s="1146"/>
      <c r="G27" s="1146"/>
      <c r="H27" s="1146"/>
      <c r="I27" s="1146"/>
      <c r="J27" s="1146"/>
      <c r="K27" s="1146"/>
      <c r="L27" s="1146"/>
      <c r="M27" s="1146"/>
      <c r="N27" s="1146"/>
      <c r="Q27" s="322"/>
      <c r="R27" s="322"/>
      <c r="S27" s="322"/>
      <c r="T27" s="322"/>
      <c r="U27" s="322"/>
      <c r="V27" s="322"/>
      <c r="W27" s="322"/>
    </row>
    <row r="28" spans="2:23" ht="15.6">
      <c r="B28" s="1927" t="s">
        <v>530</v>
      </c>
      <c r="C28" s="1927"/>
      <c r="D28" s="1927"/>
      <c r="E28" s="1927"/>
      <c r="F28" s="1927"/>
      <c r="G28" s="1927"/>
      <c r="H28" s="1927"/>
      <c r="I28" s="1927"/>
      <c r="J28" s="1927"/>
      <c r="K28" s="1927"/>
      <c r="L28" s="1927"/>
      <c r="M28" s="1927"/>
      <c r="N28" s="1927"/>
    </row>
    <row r="29" spans="2:23" ht="15.6">
      <c r="B29" s="1927" t="s">
        <v>531</v>
      </c>
      <c r="C29" s="1927"/>
      <c r="D29" s="1927"/>
      <c r="E29" s="1927"/>
      <c r="F29" s="1927"/>
      <c r="G29" s="1927"/>
      <c r="H29" s="1927"/>
      <c r="I29" s="1927"/>
      <c r="J29" s="1927"/>
      <c r="K29" s="1927"/>
      <c r="L29" s="1927"/>
      <c r="M29" s="1927"/>
      <c r="N29" s="1927"/>
    </row>
    <row r="30" spans="2:23" ht="6.75" customHeight="1">
      <c r="B30" s="1349"/>
      <c r="C30" s="1349"/>
      <c r="D30" s="1349"/>
      <c r="E30" s="1349"/>
      <c r="F30" s="1349"/>
      <c r="G30" s="1349"/>
      <c r="H30" s="1349"/>
      <c r="I30" s="1349"/>
      <c r="J30" s="1349"/>
      <c r="K30" s="1349"/>
      <c r="L30" s="1349"/>
      <c r="M30" s="1349"/>
      <c r="N30" s="1349"/>
    </row>
    <row r="31" spans="2:23" ht="18" customHeight="1">
      <c r="B31" s="1347"/>
      <c r="C31" s="1146"/>
      <c r="D31" s="1931" t="s">
        <v>18</v>
      </c>
      <c r="E31" s="1931"/>
      <c r="F31" s="1350"/>
      <c r="G31" s="1931" t="s">
        <v>532</v>
      </c>
      <c r="H31" s="1931"/>
      <c r="I31" s="1931"/>
      <c r="J31" s="1931"/>
      <c r="K31" s="1931"/>
      <c r="L31" s="1931"/>
      <c r="M31" s="1350"/>
      <c r="N31" s="1351" t="s">
        <v>533</v>
      </c>
    </row>
    <row r="32" spans="2:23" ht="21" customHeight="1">
      <c r="B32" s="481"/>
      <c r="C32" s="481" t="s">
        <v>384</v>
      </c>
      <c r="D32" s="668"/>
      <c r="E32" s="668"/>
      <c r="G32" s="668"/>
      <c r="H32" s="668"/>
      <c r="I32" s="668"/>
      <c r="J32" s="668"/>
      <c r="K32" s="668"/>
      <c r="L32" s="668"/>
      <c r="M32" s="331" t="s">
        <v>482</v>
      </c>
      <c r="N32" s="376"/>
    </row>
    <row r="33" spans="2:14" ht="21" customHeight="1">
      <c r="B33" s="481"/>
      <c r="C33" s="481" t="s">
        <v>385</v>
      </c>
      <c r="D33" s="668"/>
      <c r="E33" s="668"/>
      <c r="G33" s="668"/>
      <c r="H33" s="668"/>
      <c r="I33" s="668"/>
      <c r="J33" s="668"/>
      <c r="K33" s="668"/>
      <c r="L33" s="668"/>
      <c r="M33" s="331" t="s">
        <v>482</v>
      </c>
      <c r="N33" s="376"/>
    </row>
    <row r="34" spans="2:14" ht="21" customHeight="1">
      <c r="B34" s="481"/>
      <c r="C34" s="481" t="s">
        <v>386</v>
      </c>
      <c r="D34" s="668"/>
      <c r="E34" s="668"/>
      <c r="G34" s="668"/>
      <c r="H34" s="668"/>
      <c r="I34" s="668"/>
      <c r="J34" s="668"/>
      <c r="K34" s="668"/>
      <c r="L34" s="668"/>
      <c r="M34" s="331" t="s">
        <v>482</v>
      </c>
      <c r="N34" s="376"/>
    </row>
    <row r="35" spans="2:14" ht="21" customHeight="1">
      <c r="B35" s="481"/>
      <c r="C35" s="481" t="s">
        <v>387</v>
      </c>
      <c r="D35" s="668"/>
      <c r="E35" s="668"/>
      <c r="G35" s="668"/>
      <c r="H35" s="668"/>
      <c r="I35" s="668"/>
      <c r="J35" s="668"/>
      <c r="K35" s="668"/>
      <c r="L35" s="668"/>
      <c r="M35" s="331" t="s">
        <v>482</v>
      </c>
      <c r="N35" s="376"/>
    </row>
    <row r="36" spans="2:14" ht="21" customHeight="1">
      <c r="B36" s="481"/>
      <c r="C36" s="481" t="s">
        <v>388</v>
      </c>
      <c r="D36" s="668"/>
      <c r="E36" s="668"/>
      <c r="G36" s="668"/>
      <c r="H36" s="668"/>
      <c r="I36" s="668"/>
      <c r="J36" s="668"/>
      <c r="K36" s="668"/>
      <c r="L36" s="668"/>
      <c r="M36" s="331" t="s">
        <v>482</v>
      </c>
      <c r="N36" s="376"/>
    </row>
    <row r="37" spans="2:14">
      <c r="B37" s="1347"/>
      <c r="C37" s="1146"/>
      <c r="D37" s="1146"/>
      <c r="E37" s="1146"/>
      <c r="F37" s="1146"/>
      <c r="G37" s="1146"/>
      <c r="H37" s="1146"/>
      <c r="I37" s="1146"/>
      <c r="J37" s="1146"/>
      <c r="K37" s="1146"/>
      <c r="L37" s="1146"/>
      <c r="M37" s="1146"/>
      <c r="N37" s="1146"/>
    </row>
    <row r="38" spans="2:14">
      <c r="B38" s="1347"/>
      <c r="C38" s="1146"/>
      <c r="D38" s="1146"/>
      <c r="E38" s="1146"/>
      <c r="F38" s="1146"/>
      <c r="G38" s="1146"/>
      <c r="H38" s="1146"/>
      <c r="I38" s="1146"/>
      <c r="J38" s="1146"/>
      <c r="K38" s="1146"/>
      <c r="L38" s="1146"/>
      <c r="M38" s="1146"/>
      <c r="N38" s="1146"/>
    </row>
    <row r="39" spans="2:14">
      <c r="B39" s="1347"/>
      <c r="C39" s="1146"/>
      <c r="D39" s="1146"/>
      <c r="E39" s="1146"/>
      <c r="F39" s="1146"/>
      <c r="G39" s="1146"/>
      <c r="H39" s="1146"/>
      <c r="I39" s="1146"/>
      <c r="J39" s="1146"/>
      <c r="K39" s="1146"/>
      <c r="L39" s="1146"/>
      <c r="M39" s="1146"/>
      <c r="N39" s="1146"/>
    </row>
    <row r="40" spans="2:14" ht="15.6">
      <c r="B40" s="1927" t="s">
        <v>322</v>
      </c>
      <c r="C40" s="1927"/>
      <c r="D40" s="1927"/>
      <c r="E40" s="1927"/>
      <c r="F40" s="1927"/>
      <c r="G40" s="1927"/>
      <c r="H40" s="1927"/>
      <c r="I40" s="1927"/>
      <c r="J40" s="1927"/>
      <c r="K40" s="1927"/>
      <c r="L40" s="1927"/>
      <c r="M40" s="1927"/>
      <c r="N40" s="1927"/>
    </row>
    <row r="41" spans="2:14">
      <c r="B41" s="1347"/>
      <c r="C41" s="1146"/>
      <c r="D41" s="1146"/>
      <c r="E41" s="1146"/>
      <c r="F41" s="1146"/>
      <c r="G41" s="1146"/>
      <c r="H41" s="1146"/>
      <c r="I41" s="1146"/>
      <c r="J41" s="1146"/>
      <c r="K41" s="1146"/>
      <c r="L41" s="1146"/>
      <c r="M41" s="1146"/>
      <c r="N41" s="1146"/>
    </row>
    <row r="42" spans="2:14">
      <c r="B42" s="1347"/>
      <c r="C42" s="1146"/>
      <c r="D42" s="1146"/>
      <c r="E42" s="1146"/>
      <c r="F42" s="1146"/>
      <c r="G42" s="1146"/>
      <c r="H42" s="1146"/>
      <c r="I42" s="1146"/>
      <c r="J42" s="1146"/>
      <c r="K42" s="1146"/>
      <c r="L42" s="1146"/>
      <c r="M42" s="1146"/>
      <c r="N42" s="1141" t="s">
        <v>538</v>
      </c>
    </row>
    <row r="43" spans="2:14">
      <c r="B43" s="1347"/>
      <c r="C43" s="1146"/>
      <c r="D43" s="1146"/>
      <c r="E43" s="1146"/>
      <c r="F43" s="1146"/>
      <c r="G43" s="1146"/>
      <c r="H43" s="1146"/>
      <c r="I43" s="1146"/>
      <c r="J43" s="1146"/>
      <c r="K43" s="1146"/>
      <c r="L43" s="1146"/>
      <c r="M43" s="1146"/>
      <c r="N43" s="1141" t="s">
        <v>539</v>
      </c>
    </row>
    <row r="44" spans="2:14">
      <c r="B44" s="1347"/>
      <c r="C44" s="1146"/>
      <c r="D44" s="1930" t="s">
        <v>535</v>
      </c>
      <c r="E44" s="1930"/>
      <c r="F44" s="1146"/>
      <c r="G44" s="1146"/>
      <c r="H44" s="1930" t="s">
        <v>536</v>
      </c>
      <c r="I44" s="1930"/>
      <c r="J44" s="1345" t="s">
        <v>537</v>
      </c>
      <c r="K44" s="1146"/>
      <c r="L44" s="1345" t="s">
        <v>533</v>
      </c>
      <c r="M44" s="1146"/>
      <c r="N44" s="1345" t="str">
        <f>"Year "&amp;TEXT('KEY INPUTS'!D34,"0")&amp;""</f>
        <v>Year 2019</v>
      </c>
    </row>
    <row r="45" spans="2:14">
      <c r="B45" s="1347"/>
      <c r="C45" s="1146"/>
      <c r="D45" s="1146"/>
      <c r="E45" s="1146"/>
      <c r="F45" s="1146"/>
      <c r="G45" s="1146"/>
      <c r="H45" s="1146"/>
      <c r="I45" s="1146"/>
      <c r="J45" s="1146"/>
      <c r="K45" s="1146"/>
      <c r="L45" s="1146"/>
      <c r="M45" s="1146"/>
      <c r="N45" s="1146"/>
    </row>
    <row r="46" spans="2:14" ht="21" customHeight="1">
      <c r="B46" s="481"/>
      <c r="C46" s="481" t="s">
        <v>384</v>
      </c>
      <c r="D46" s="668"/>
      <c r="E46" s="668"/>
      <c r="F46" s="668"/>
      <c r="G46" s="668"/>
      <c r="H46" s="668"/>
      <c r="I46" s="668"/>
      <c r="J46" s="668"/>
      <c r="K46" s="331" t="s">
        <v>482</v>
      </c>
      <c r="L46" s="376"/>
      <c r="M46" s="667"/>
      <c r="N46" s="376"/>
    </row>
    <row r="47" spans="2:14" ht="21" customHeight="1">
      <c r="B47" s="481"/>
      <c r="C47" s="481" t="s">
        <v>385</v>
      </c>
      <c r="D47" s="668"/>
      <c r="E47" s="668"/>
      <c r="F47" s="668"/>
      <c r="G47" s="668"/>
      <c r="H47" s="668"/>
      <c r="I47" s="668"/>
      <c r="J47" s="668"/>
      <c r="K47" s="331" t="s">
        <v>482</v>
      </c>
      <c r="L47" s="376"/>
      <c r="M47" s="667"/>
      <c r="N47" s="376"/>
    </row>
    <row r="48" spans="2:14" ht="21" customHeight="1">
      <c r="B48" s="481"/>
      <c r="C48" s="481" t="s">
        <v>386</v>
      </c>
      <c r="D48" s="668"/>
      <c r="E48" s="668"/>
      <c r="F48" s="668"/>
      <c r="G48" s="668"/>
      <c r="H48" s="668"/>
      <c r="I48" s="668"/>
      <c r="J48" s="668"/>
      <c r="K48" s="331" t="s">
        <v>482</v>
      </c>
      <c r="L48" s="376"/>
      <c r="M48" s="667"/>
      <c r="N48" s="376"/>
    </row>
    <row r="49" spans="2:14" ht="21" customHeight="1">
      <c r="B49" s="481"/>
      <c r="C49" s="481" t="s">
        <v>387</v>
      </c>
      <c r="D49" s="668"/>
      <c r="E49" s="668"/>
      <c r="F49" s="668"/>
      <c r="G49" s="668"/>
      <c r="H49" s="668"/>
      <c r="I49" s="668"/>
      <c r="J49" s="668"/>
      <c r="K49" s="331" t="s">
        <v>482</v>
      </c>
      <c r="L49" s="376"/>
      <c r="M49" s="667"/>
      <c r="N49" s="376"/>
    </row>
    <row r="50" spans="2:14">
      <c r="B50" s="481"/>
    </row>
    <row r="51" spans="2:14">
      <c r="B51" s="481"/>
    </row>
    <row r="52" spans="2:14">
      <c r="B52" s="481"/>
    </row>
    <row r="53" spans="2:14">
      <c r="B53" s="481"/>
    </row>
    <row r="54" spans="2:14">
      <c r="B54" s="481"/>
    </row>
    <row r="55" spans="2:14">
      <c r="B55" s="481"/>
    </row>
    <row r="56" spans="2:14">
      <c r="B56" s="481"/>
    </row>
    <row r="57" spans="2:14">
      <c r="B57" s="481"/>
    </row>
    <row r="58" spans="2:14">
      <c r="B58" s="481"/>
    </row>
    <row r="59" spans="2:14">
      <c r="B59" s="481"/>
    </row>
    <row r="60" spans="2:14">
      <c r="B60" s="481"/>
    </row>
    <row r="61" spans="2:14" ht="13.8">
      <c r="B61" s="1813" t="s">
        <v>3443</v>
      </c>
      <c r="C61" s="1813"/>
      <c r="D61" s="1813"/>
      <c r="E61" s="1813"/>
      <c r="F61" s="1813"/>
      <c r="G61" s="1813"/>
      <c r="H61" s="1813"/>
      <c r="I61" s="1813"/>
      <c r="J61" s="1813"/>
      <c r="K61" s="1813"/>
      <c r="L61" s="1813"/>
      <c r="M61" s="1813"/>
      <c r="N61" s="1813"/>
    </row>
    <row r="62" spans="2:14">
      <c r="B62" s="481"/>
    </row>
    <row r="63" spans="2:14">
      <c r="B63" s="481"/>
    </row>
    <row r="64" spans="2:14">
      <c r="B64" s="481"/>
    </row>
    <row r="65" spans="2:2">
      <c r="B65" s="481"/>
    </row>
    <row r="66" spans="2:2">
      <c r="B66" s="481"/>
    </row>
    <row r="67" spans="2:2">
      <c r="B67" s="481"/>
    </row>
    <row r="68" spans="2:2">
      <c r="B68" s="481"/>
    </row>
    <row r="69" spans="2:2">
      <c r="B69" s="481"/>
    </row>
  </sheetData>
  <sheetProtection algorithmName="SHA-512" hashValue="7byU88lQWKrX4Kj66px3n8pkfRyvYtb3DB0jf7D6TXzdNOCcFoTOdhj7qcqtFSB9A/3RGSByR86EJGSomWrKMg==" saltValue="p+ZQddKtJPLMdiVlsbbCqA=="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13">
    <mergeCell ref="B61:N61"/>
    <mergeCell ref="B29:N29"/>
    <mergeCell ref="D31:E31"/>
    <mergeCell ref="G31:L31"/>
    <mergeCell ref="B40:N40"/>
    <mergeCell ref="D44:E44"/>
    <mergeCell ref="H44:I44"/>
    <mergeCell ref="B28:N28"/>
    <mergeCell ref="B3:N3"/>
    <mergeCell ref="B4:N4"/>
    <mergeCell ref="B5:N5"/>
    <mergeCell ref="B6:N6"/>
    <mergeCell ref="C9:E9"/>
  </mergeCells>
  <pageMargins left="0.25" right="0.25" top="0.5" bottom="0.5" header="0.25" footer="0.25"/>
  <pageSetup paperSize="5" orientation="portrait" r:id="rId5"/>
  <headerFooter alignWithMargins="0"/>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Sheet280">
    <tabColor theme="3" tint="0.79998168889431442"/>
  </sheetPr>
  <dimension ref="B1:U50"/>
  <sheetViews>
    <sheetView zoomScaleNormal="100" zoomScaleSheetLayoutView="80" workbookViewId="0">
      <selection activeCell="B1" sqref="B1"/>
    </sheetView>
  </sheetViews>
  <sheetFormatPr defaultColWidth="8.88671875" defaultRowHeight="13.2"/>
  <cols>
    <col min="1" max="4" width="4.6640625" style="398" customWidth="1"/>
    <col min="5" max="5" width="17.88671875" style="398" customWidth="1"/>
    <col min="6" max="6" width="8.88671875" style="398"/>
    <col min="7" max="7" width="16.6640625" style="398" customWidth="1"/>
    <col min="8" max="8" width="1.6640625" style="398" customWidth="1"/>
    <col min="9" max="9" width="15.6640625" style="398" customWidth="1"/>
    <col min="10" max="10" width="1.6640625" style="398" customWidth="1"/>
    <col min="11" max="11" width="8.6640625" style="398" customWidth="1"/>
    <col min="12" max="12" width="7.6640625" style="398" customWidth="1"/>
    <col min="13" max="15" width="8.88671875" style="398"/>
    <col min="16" max="17" width="10.33203125" style="398" bestFit="1" customWidth="1"/>
    <col min="18" max="16384" width="8.88671875" style="398"/>
  </cols>
  <sheetData>
    <row r="1" spans="2:21">
      <c r="B1" s="1114"/>
      <c r="C1" s="1114"/>
      <c r="D1" s="1114"/>
      <c r="E1" s="1114"/>
      <c r="F1" s="1114"/>
      <c r="G1" s="1114"/>
      <c r="H1" s="1114"/>
      <c r="I1" s="1114"/>
      <c r="J1" s="1114"/>
      <c r="K1" s="1114"/>
      <c r="L1" s="1114"/>
    </row>
    <row r="2" spans="2:21" ht="20.399999999999999">
      <c r="B2" s="1788" t="s">
        <v>160</v>
      </c>
      <c r="C2" s="1788"/>
      <c r="D2" s="1788"/>
      <c r="E2" s="1788"/>
      <c r="F2" s="1788"/>
      <c r="G2" s="1788"/>
      <c r="H2" s="1788"/>
      <c r="I2" s="1788"/>
      <c r="J2" s="1788"/>
      <c r="K2" s="1788"/>
      <c r="L2" s="1788"/>
    </row>
    <row r="3" spans="2:21" ht="20.399999999999999">
      <c r="B3" s="1788" t="str">
        <f>"AND  "&amp;TEXT('KEY INPUTS'!D34+1,"0")&amp;"  DEBT  SERVICE  FOR  BONDS"</f>
        <v>AND  2020  DEBT  SERVICE  FOR  BONDS</v>
      </c>
      <c r="C3" s="1788"/>
      <c r="D3" s="1788"/>
      <c r="E3" s="1788"/>
      <c r="F3" s="1788"/>
      <c r="G3" s="1788"/>
      <c r="H3" s="1788"/>
      <c r="I3" s="1788"/>
      <c r="J3" s="1788"/>
      <c r="K3" s="1788"/>
      <c r="L3" s="1788"/>
    </row>
    <row r="4" spans="2:21" ht="15.6">
      <c r="B4" s="1761" t="str">
        <f>UPPER('KEY INPUTS'!D57)&amp;" UTILITY  ASSESSMENT  BONDS"</f>
        <v xml:space="preserve"> UTILITY  ASSESSMENT  BONDS</v>
      </c>
      <c r="C4" s="1761"/>
      <c r="D4" s="1761"/>
      <c r="E4" s="1761"/>
      <c r="F4" s="1761"/>
      <c r="G4" s="1761"/>
      <c r="H4" s="1761"/>
      <c r="I4" s="1761"/>
      <c r="J4" s="1761"/>
      <c r="K4" s="1761"/>
      <c r="L4" s="1761"/>
    </row>
    <row r="5" spans="2:21" ht="9.75" customHeight="1" thickBot="1">
      <c r="B5" s="1379"/>
      <c r="C5" s="1379"/>
      <c r="D5" s="1379"/>
      <c r="E5" s="1379"/>
      <c r="F5" s="1379"/>
      <c r="G5" s="1379"/>
      <c r="H5" s="1379"/>
      <c r="I5" s="1379"/>
      <c r="J5" s="1379"/>
      <c r="K5" s="1379"/>
      <c r="L5" s="1379"/>
    </row>
    <row r="6" spans="2:21" ht="27.75" customHeight="1" thickTop="1" thickBot="1">
      <c r="B6" s="1333"/>
      <c r="C6" s="1333"/>
      <c r="D6" s="1333"/>
      <c r="E6" s="1333"/>
      <c r="F6" s="1333"/>
      <c r="G6" s="1115" t="s">
        <v>125</v>
      </c>
      <c r="H6" s="1932" t="s">
        <v>126</v>
      </c>
      <c r="I6" s="1763"/>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70"/>
      <c r="D7" s="1170"/>
      <c r="E7" s="1170"/>
      <c r="F7" s="1170"/>
      <c r="G7" s="1171" t="s">
        <v>787</v>
      </c>
      <c r="H7" s="1705"/>
      <c r="I7" s="1706"/>
      <c r="K7" s="1114"/>
      <c r="L7" s="1114"/>
      <c r="O7" s="322"/>
      <c r="P7" s="322"/>
      <c r="Q7" s="322"/>
      <c r="R7" s="322"/>
      <c r="S7" s="322"/>
      <c r="T7" s="322"/>
      <c r="U7" s="322"/>
    </row>
    <row r="8" spans="2:21" ht="21" customHeight="1">
      <c r="B8" s="690" t="s">
        <v>113</v>
      </c>
      <c r="C8" s="690"/>
      <c r="D8" s="690"/>
      <c r="E8" s="690"/>
      <c r="F8" s="690"/>
      <c r="G8" s="1174" t="s">
        <v>787</v>
      </c>
      <c r="H8" s="1679"/>
      <c r="I8" s="1680"/>
      <c r="K8" s="1114"/>
      <c r="L8" s="1114"/>
      <c r="O8" s="377"/>
      <c r="P8" s="322"/>
      <c r="Q8" s="322"/>
      <c r="R8" s="322"/>
      <c r="S8" s="322"/>
      <c r="T8" s="322"/>
      <c r="U8" s="322"/>
    </row>
    <row r="9" spans="2:21" ht="21" customHeight="1">
      <c r="B9" s="690"/>
      <c r="C9" s="690"/>
      <c r="D9" s="690"/>
      <c r="E9" s="690"/>
      <c r="F9" s="690"/>
      <c r="G9" s="1174"/>
      <c r="H9" s="785"/>
      <c r="I9" s="1229"/>
      <c r="K9" s="1114"/>
      <c r="L9" s="1114"/>
      <c r="O9" s="322"/>
      <c r="P9" s="322"/>
      <c r="Q9" s="322"/>
      <c r="R9" s="322"/>
      <c r="S9" s="322"/>
      <c r="T9" s="322"/>
      <c r="U9" s="322"/>
    </row>
    <row r="10" spans="2:21" ht="21" customHeight="1">
      <c r="B10" s="690" t="s">
        <v>326</v>
      </c>
      <c r="C10" s="690"/>
      <c r="D10" s="690"/>
      <c r="E10" s="690"/>
      <c r="F10" s="690"/>
      <c r="G10" s="601"/>
      <c r="H10" s="1830" t="s">
        <v>787</v>
      </c>
      <c r="I10" s="1831"/>
      <c r="K10" s="1114"/>
      <c r="L10" s="1114"/>
      <c r="O10" s="322"/>
      <c r="P10" s="322"/>
      <c r="Q10" s="322"/>
      <c r="R10" s="322"/>
      <c r="S10" s="322"/>
      <c r="T10" s="322"/>
      <c r="U10" s="322"/>
    </row>
    <row r="11" spans="2:21" ht="21" customHeight="1" thickBot="1">
      <c r="B11" s="690" t="str">
        <f>'KEY INPUTS'!D28</f>
        <v>Outstanding - December 31, 2019</v>
      </c>
      <c r="C11" s="690"/>
      <c r="D11" s="690"/>
      <c r="E11" s="690"/>
      <c r="F11" s="690"/>
      <c r="G11" s="1129">
        <f>+H7+H8-G10</f>
        <v>0</v>
      </c>
      <c r="H11" s="1832" t="s">
        <v>787</v>
      </c>
      <c r="I11" s="1833"/>
      <c r="K11" s="1114"/>
      <c r="L11" s="1114"/>
      <c r="O11" s="322"/>
      <c r="P11" s="322"/>
      <c r="Q11" s="322"/>
      <c r="R11" s="322"/>
      <c r="S11" s="322"/>
      <c r="T11" s="322"/>
      <c r="U11" s="322"/>
    </row>
    <row r="12" spans="2:21" ht="21" customHeight="1" thickBot="1">
      <c r="B12" s="1114"/>
      <c r="C12" s="1114"/>
      <c r="D12" s="1114"/>
      <c r="E12" s="1114"/>
      <c r="F12" s="1114"/>
      <c r="G12" s="1131">
        <f>SUM(G7:G11)</f>
        <v>0</v>
      </c>
      <c r="H12" s="1837">
        <f>SUM(H7:I11)</f>
        <v>0</v>
      </c>
      <c r="I12" s="1838"/>
      <c r="K12" s="1114"/>
      <c r="L12" s="1114"/>
      <c r="O12" s="322"/>
      <c r="P12" s="322"/>
      <c r="Q12" s="322"/>
      <c r="R12" s="322"/>
      <c r="S12" s="322"/>
      <c r="T12" s="322"/>
      <c r="U12" s="322"/>
    </row>
    <row r="13" spans="2:21" ht="21" customHeight="1" thickTop="1">
      <c r="B13" s="1382" t="str">
        <f>TEXT('KEY INPUTS'!D34+1,"0")&amp;" Bond Maturities - Assessment Bonds"</f>
        <v>2020 Bond Maturities - Assessment Bonds</v>
      </c>
      <c r="C13" s="1128"/>
      <c r="D13" s="1128"/>
      <c r="E13" s="1128"/>
      <c r="F13" s="1128"/>
      <c r="G13" s="1128"/>
      <c r="H13" s="1128"/>
      <c r="I13" s="1381"/>
      <c r="J13" s="451" t="s">
        <v>482</v>
      </c>
      <c r="K13" s="1714"/>
      <c r="L13" s="1714"/>
      <c r="O13" s="322"/>
      <c r="P13" s="322"/>
      <c r="Q13" s="322"/>
      <c r="R13" s="322"/>
      <c r="S13" s="322"/>
      <c r="T13" s="322"/>
      <c r="U13" s="322"/>
    </row>
    <row r="14" spans="2:21" ht="21" customHeight="1" thickBot="1">
      <c r="B14" s="1383" t="str">
        <f>TEXT('KEY INPUTS'!D34+1,"0")&amp;" Interest on Bonds"</f>
        <v>2020 Interest on Bonds</v>
      </c>
      <c r="C14" s="1232"/>
      <c r="D14" s="1232"/>
      <c r="E14" s="1232"/>
      <c r="F14" s="1232"/>
      <c r="G14" s="1257"/>
      <c r="H14" s="488" t="s">
        <v>482</v>
      </c>
      <c r="I14" s="608"/>
      <c r="K14" s="1114"/>
      <c r="L14" s="1114"/>
      <c r="O14" s="322"/>
      <c r="P14" s="322"/>
      <c r="Q14" s="322"/>
      <c r="R14" s="322"/>
      <c r="S14" s="322"/>
      <c r="T14" s="322"/>
      <c r="U14" s="322"/>
    </row>
    <row r="15" spans="2:21" ht="16.5" customHeight="1" thickTop="1">
      <c r="B15" s="1951"/>
      <c r="C15" s="1951"/>
      <c r="D15" s="1951"/>
      <c r="E15" s="1951"/>
      <c r="F15" s="1951"/>
      <c r="G15" s="1951"/>
      <c r="H15" s="1951"/>
      <c r="I15" s="1952"/>
      <c r="K15" s="1114"/>
      <c r="L15" s="1114"/>
      <c r="O15" s="322"/>
      <c r="P15" s="322"/>
      <c r="Q15" s="322"/>
      <c r="R15" s="322"/>
      <c r="S15" s="322"/>
      <c r="T15" s="322"/>
      <c r="U15" s="322"/>
    </row>
    <row r="16" spans="2:21" ht="26.25" customHeight="1" thickBot="1">
      <c r="B16" s="1935" t="str">
        <f>UPPER('KEY INPUTS'!D57) &amp;" UTILITY  CAPITAL  BONDS"</f>
        <v xml:space="preserve"> UTILITY  CAPITAL  BONDS</v>
      </c>
      <c r="C16" s="1935"/>
      <c r="D16" s="1935"/>
      <c r="E16" s="1935"/>
      <c r="F16" s="1935"/>
      <c r="G16" s="1935"/>
      <c r="H16" s="1935"/>
      <c r="I16" s="1936"/>
      <c r="K16" s="1114"/>
      <c r="L16" s="1114"/>
      <c r="O16" s="322"/>
      <c r="P16" s="322"/>
      <c r="Q16" s="322"/>
      <c r="R16" s="322"/>
      <c r="S16" s="322"/>
      <c r="T16" s="322"/>
      <c r="U16" s="322"/>
    </row>
    <row r="17" spans="2:21" ht="21" customHeight="1" thickTop="1">
      <c r="B17" s="1211" t="str">
        <f>'KEY INPUTS'!D27</f>
        <v>Outstanding - January 1, 2019</v>
      </c>
      <c r="C17" s="1170"/>
      <c r="D17" s="1170"/>
      <c r="E17" s="1170"/>
      <c r="F17" s="1170"/>
      <c r="G17" s="1171" t="s">
        <v>787</v>
      </c>
      <c r="H17" s="1705"/>
      <c r="I17" s="1706"/>
      <c r="K17" s="1114"/>
      <c r="L17" s="1114"/>
      <c r="O17" s="322"/>
      <c r="P17" s="322"/>
      <c r="Q17" s="322"/>
      <c r="R17" s="322"/>
      <c r="S17" s="322"/>
      <c r="T17" s="322"/>
      <c r="U17" s="322"/>
    </row>
    <row r="18" spans="2:21" ht="21" customHeight="1">
      <c r="B18" s="690" t="s">
        <v>113</v>
      </c>
      <c r="C18" s="690"/>
      <c r="D18" s="690"/>
      <c r="E18" s="690"/>
      <c r="F18" s="690"/>
      <c r="G18" s="1174" t="s">
        <v>787</v>
      </c>
      <c r="H18" s="1679"/>
      <c r="I18" s="1680"/>
      <c r="K18" s="1114"/>
      <c r="L18" s="1114"/>
      <c r="O18" s="322"/>
      <c r="P18" s="322"/>
      <c r="Q18" s="322"/>
      <c r="R18" s="322"/>
      <c r="S18" s="322"/>
      <c r="T18" s="322"/>
      <c r="U18" s="322"/>
    </row>
    <row r="19" spans="2:21" ht="21" customHeight="1">
      <c r="B19" s="690" t="s">
        <v>326</v>
      </c>
      <c r="C19" s="690"/>
      <c r="D19" s="690"/>
      <c r="E19" s="690"/>
      <c r="F19" s="690"/>
      <c r="G19" s="601"/>
      <c r="H19" s="1830" t="s">
        <v>787</v>
      </c>
      <c r="I19" s="1831"/>
      <c r="K19" s="1114"/>
      <c r="L19" s="1114"/>
      <c r="O19" s="322"/>
      <c r="P19" s="322"/>
      <c r="Q19" s="322"/>
      <c r="R19" s="322"/>
      <c r="S19" s="322"/>
      <c r="T19" s="322"/>
      <c r="U19" s="322"/>
    </row>
    <row r="20" spans="2:21" ht="21" customHeight="1">
      <c r="B20" s="690"/>
      <c r="C20" s="690"/>
      <c r="D20" s="690"/>
      <c r="E20" s="690"/>
      <c r="F20" s="690"/>
      <c r="G20" s="689"/>
      <c r="H20" s="1839"/>
      <c r="I20" s="1840"/>
      <c r="K20" s="1114"/>
      <c r="L20" s="1114"/>
      <c r="O20" s="322"/>
      <c r="P20" s="322"/>
      <c r="Q20" s="322"/>
      <c r="R20" s="322"/>
      <c r="S20" s="322"/>
      <c r="T20" s="322"/>
      <c r="U20" s="322"/>
    </row>
    <row r="21" spans="2:21" ht="21" customHeight="1">
      <c r="B21" s="690"/>
      <c r="C21" s="690"/>
      <c r="D21" s="690"/>
      <c r="E21" s="690"/>
      <c r="F21" s="690"/>
      <c r="G21" s="689"/>
      <c r="H21" s="1839"/>
      <c r="I21" s="1840"/>
      <c r="K21" s="1114"/>
      <c r="L21" s="1114"/>
      <c r="O21" s="322"/>
      <c r="P21" s="322"/>
      <c r="Q21" s="322"/>
      <c r="R21" s="322"/>
      <c r="S21" s="322"/>
      <c r="T21" s="322"/>
      <c r="U21" s="322"/>
    </row>
    <row r="22" spans="2:21" ht="21" customHeight="1" thickBot="1">
      <c r="B22" s="690" t="str">
        <f>'KEY INPUTS'!D28</f>
        <v>Outstanding - December 31, 2019</v>
      </c>
      <c r="C22" s="690"/>
      <c r="D22" s="690"/>
      <c r="E22" s="690"/>
      <c r="F22" s="690"/>
      <c r="G22" s="1129">
        <f>+H17+H18-G19-G20-G21+H20+H21</f>
        <v>0</v>
      </c>
      <c r="H22" s="1832" t="s">
        <v>787</v>
      </c>
      <c r="I22" s="1833"/>
      <c r="K22" s="1114"/>
      <c r="L22" s="1114"/>
      <c r="O22" s="322"/>
      <c r="P22" s="322"/>
      <c r="Q22" s="322"/>
      <c r="R22" s="322"/>
      <c r="S22" s="322"/>
      <c r="T22" s="322"/>
      <c r="U22" s="322"/>
    </row>
    <row r="23" spans="2:21" ht="21" customHeight="1" thickBot="1">
      <c r="B23" s="1114"/>
      <c r="C23" s="1114"/>
      <c r="D23" s="1114"/>
      <c r="E23" s="1114"/>
      <c r="F23" s="1114"/>
      <c r="G23" s="1131">
        <f>SUM(G17:G22)</f>
        <v>0</v>
      </c>
      <c r="H23" s="1837">
        <f>SUM(H17:I22)</f>
        <v>0</v>
      </c>
      <c r="I23" s="1838"/>
      <c r="K23" s="1114"/>
      <c r="L23" s="1114"/>
    </row>
    <row r="24" spans="2:21" ht="21" customHeight="1" thickTop="1">
      <c r="B24" s="1382" t="str">
        <f>TEXT('KEY INPUTS'!D34+1,"0")&amp;" Bond Maturities - Capital Bonds"</f>
        <v>2020 Bond Maturities - Capital Bonds</v>
      </c>
      <c r="C24" s="1128"/>
      <c r="D24" s="1128"/>
      <c r="E24" s="1128"/>
      <c r="F24" s="1128"/>
      <c r="G24" s="1128"/>
      <c r="H24" s="1128"/>
      <c r="I24" s="1384"/>
      <c r="J24" s="451" t="s">
        <v>482</v>
      </c>
      <c r="K24" s="1714"/>
      <c r="L24" s="1714"/>
    </row>
    <row r="25" spans="2:21" ht="21" customHeight="1" thickBot="1">
      <c r="B25" s="1383" t="str">
        <f>TEXT('KEY INPUTS'!D34+1,"0")&amp;" Interest on Bonds"</f>
        <v>2020 Interest on Bonds</v>
      </c>
      <c r="C25" s="1232"/>
      <c r="D25" s="1232"/>
      <c r="E25" s="1232"/>
      <c r="F25" s="1232"/>
      <c r="G25" s="1257"/>
      <c r="H25" s="488" t="s">
        <v>482</v>
      </c>
      <c r="I25" s="608"/>
      <c r="J25" s="489"/>
      <c r="K25" s="1232"/>
      <c r="L25" s="1383" t="s">
        <v>3406</v>
      </c>
    </row>
    <row r="26" spans="2:21" ht="21" customHeight="1" thickTop="1">
      <c r="B26" s="1114"/>
      <c r="C26" s="1114"/>
      <c r="D26" s="1114"/>
      <c r="E26" s="1114"/>
      <c r="F26" s="1114"/>
      <c r="G26" s="1114"/>
      <c r="H26" s="1114"/>
      <c r="I26" s="1114"/>
      <c r="J26" s="1114"/>
      <c r="K26" s="1114"/>
      <c r="L26" s="1114"/>
    </row>
    <row r="27" spans="2:21" ht="19.5" customHeight="1" thickBot="1">
      <c r="B27" s="1935" t="str">
        <f>"INTEREST  ON  BONDS  -  "&amp;UPPER('KEY INPUTS'!D57)&amp;"  UTILITY  BUDGET"</f>
        <v>INTEREST  ON  BONDS  -    UTILITY  BUDGET</v>
      </c>
      <c r="C27" s="1935"/>
      <c r="D27" s="1935"/>
      <c r="E27" s="1935"/>
      <c r="F27" s="1935"/>
      <c r="G27" s="1935"/>
      <c r="H27" s="1935"/>
      <c r="I27" s="1935"/>
      <c r="J27" s="1935"/>
      <c r="K27" s="1935"/>
      <c r="L27" s="1935"/>
    </row>
    <row r="28" spans="2:21" ht="21" customHeight="1" thickTop="1">
      <c r="B28" s="1394" t="str">
        <f>TEXT('KEY INPUTS'!D34+1,"0")&amp;" Interest on Bonds (*Items)"</f>
        <v>2020 Interest on Bonds (*Items)</v>
      </c>
      <c r="C28" s="1170"/>
      <c r="D28" s="1170"/>
      <c r="E28" s="1170"/>
      <c r="F28" s="1170"/>
      <c r="G28" s="1170"/>
      <c r="H28" s="457" t="s">
        <v>482</v>
      </c>
      <c r="I28" s="1230">
        <f>+I14+I25</f>
        <v>0</v>
      </c>
      <c r="K28" s="1114"/>
      <c r="L28" s="1114"/>
      <c r="O28" s="464"/>
      <c r="P28" s="464"/>
      <c r="Q28" s="464"/>
      <c r="R28" s="464"/>
    </row>
    <row r="29" spans="2:21" ht="21" customHeight="1">
      <c r="B29" s="914" t="str">
        <f>"Less: Interest Accrued to "&amp;TEXT('KEY INPUTS'!D29,"mm/dd/yyy")&amp;" (Trial Balance)"</f>
        <v>Less: Interest Accrued to 12/31/2019 (Trial Balance)</v>
      </c>
      <c r="C29" s="690"/>
      <c r="D29" s="690"/>
      <c r="E29" s="690"/>
      <c r="F29" s="690"/>
      <c r="G29" s="690"/>
      <c r="H29" s="402" t="s">
        <v>482</v>
      </c>
      <c r="I29" s="672"/>
      <c r="K29" s="1114"/>
      <c r="L29" s="1114"/>
      <c r="O29" s="464"/>
      <c r="P29" s="464"/>
      <c r="Q29" s="464"/>
      <c r="R29" s="464"/>
    </row>
    <row r="30" spans="2:21" ht="21" customHeight="1">
      <c r="B30" s="690"/>
      <c r="C30" s="690" t="s">
        <v>421</v>
      </c>
      <c r="D30" s="690"/>
      <c r="E30" s="690"/>
      <c r="F30" s="690"/>
      <c r="G30" s="690"/>
      <c r="H30" s="402" t="s">
        <v>482</v>
      </c>
      <c r="I30" s="496">
        <f>+I28-I29</f>
        <v>0</v>
      </c>
      <c r="K30" s="1114"/>
      <c r="L30" s="1114"/>
      <c r="O30" s="464"/>
      <c r="P30" s="464"/>
      <c r="Q30" s="464"/>
      <c r="R30" s="464"/>
    </row>
    <row r="31" spans="2:21" ht="21" customHeight="1">
      <c r="B31" s="914" t="str">
        <f>"Add: Interest to be Accrued as of "&amp;TEXT('KEY INPUTS'!D30,"mm/dd/yyyy")&amp;""</f>
        <v>Add: Interest to be Accrued as of 12/31/2020</v>
      </c>
      <c r="C31" s="690"/>
      <c r="D31" s="690"/>
      <c r="E31" s="690"/>
      <c r="F31" s="690"/>
      <c r="G31" s="690"/>
      <c r="H31" s="402" t="s">
        <v>482</v>
      </c>
      <c r="I31" s="672"/>
      <c r="K31" s="1114"/>
      <c r="L31" s="1114"/>
      <c r="O31" s="464"/>
      <c r="P31" s="464"/>
      <c r="Q31" s="464"/>
      <c r="R31" s="464"/>
    </row>
    <row r="32" spans="2:21" ht="21" customHeight="1">
      <c r="B32" s="914" t="str">
        <f>"Required Appropriation "&amp;TEXT('KEY INPUTS'!D34+1,"0")</f>
        <v>Required Appropriation 2020</v>
      </c>
      <c r="C32" s="690"/>
      <c r="D32" s="690"/>
      <c r="E32" s="690"/>
      <c r="F32" s="690"/>
      <c r="G32" s="690"/>
      <c r="H32" s="690"/>
      <c r="I32" s="1414"/>
      <c r="J32" s="491" t="s">
        <v>482</v>
      </c>
      <c r="K32" s="1824">
        <f>+I30+I31</f>
        <v>0</v>
      </c>
      <c r="L32" s="1825"/>
      <c r="O32" s="464"/>
      <c r="P32" s="464"/>
      <c r="Q32" s="464"/>
      <c r="R32" s="464"/>
    </row>
    <row r="33" spans="2:12" ht="13.5" customHeight="1">
      <c r="B33" s="1192"/>
      <c r="C33" s="1192"/>
      <c r="D33" s="1192"/>
      <c r="E33" s="1192"/>
      <c r="F33" s="1192"/>
      <c r="G33" s="1192"/>
      <c r="H33" s="1192"/>
      <c r="I33" s="1192"/>
      <c r="J33" s="1192"/>
      <c r="K33" s="1427"/>
      <c r="L33" s="1298"/>
    </row>
    <row r="34" spans="2:12" ht="13.5" customHeight="1">
      <c r="B34" s="1192"/>
      <c r="C34" s="1192"/>
      <c r="D34" s="1192"/>
      <c r="E34" s="1192"/>
      <c r="F34" s="1192"/>
      <c r="G34" s="1192"/>
      <c r="H34" s="1192"/>
      <c r="I34" s="1192"/>
      <c r="J34" s="1192"/>
      <c r="K34" s="1427"/>
      <c r="L34" s="1298"/>
    </row>
    <row r="35" spans="2:12" ht="21" customHeight="1" thickBot="1">
      <c r="B35" s="1938" t="str">
        <f>"LIST  OF  BONDS  ISSUED  DURING  "&amp;TEXT('KEY INPUTS'!D34,"0")&amp;""</f>
        <v>LIST  OF  BONDS  ISSUED  DURING  2019</v>
      </c>
      <c r="C35" s="1938"/>
      <c r="D35" s="1938"/>
      <c r="E35" s="1938"/>
      <c r="F35" s="1938"/>
      <c r="G35" s="1938"/>
      <c r="H35" s="1938"/>
      <c r="I35" s="1938"/>
      <c r="J35" s="1938"/>
      <c r="K35" s="1938"/>
      <c r="L35" s="1938"/>
    </row>
    <row r="36" spans="2:12" ht="27" customHeight="1" thickTop="1" thickBot="1">
      <c r="B36" s="1762" t="s">
        <v>532</v>
      </c>
      <c r="C36" s="1762"/>
      <c r="D36" s="1762"/>
      <c r="E36" s="1762"/>
      <c r="F36" s="1762"/>
      <c r="G36" s="1397" t="str">
        <f>TEXT('KEY INPUTS'!D34,"0")&amp;" Maturity"</f>
        <v>2019 Maturity</v>
      </c>
      <c r="H36" s="1932" t="s">
        <v>109</v>
      </c>
      <c r="I36" s="1763"/>
      <c r="J36" s="1953" t="s">
        <v>107</v>
      </c>
      <c r="K36" s="1954"/>
      <c r="L36" s="1413" t="s">
        <v>108</v>
      </c>
    </row>
    <row r="37" spans="2:12" ht="21" customHeight="1" thickTop="1">
      <c r="B37" s="673"/>
      <c r="C37" s="673"/>
      <c r="D37" s="673"/>
      <c r="E37" s="673"/>
      <c r="F37" s="673"/>
      <c r="G37" s="605"/>
      <c r="H37" s="1705"/>
      <c r="I37" s="1706"/>
      <c r="J37" s="1828"/>
      <c r="K37" s="1829"/>
      <c r="L37" s="917"/>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232"/>
      <c r="C41" s="1232"/>
      <c r="D41" s="1232"/>
      <c r="E41" s="1232"/>
      <c r="F41" s="1385"/>
      <c r="G41" s="1131">
        <f>SUM(G37:G40)</f>
        <v>0</v>
      </c>
      <c r="H41" s="1820">
        <f>SUM(H37:I40)</f>
        <v>0</v>
      </c>
      <c r="I41" s="1821"/>
      <c r="J41" s="1386"/>
      <c r="K41" s="1232"/>
      <c r="L41" s="1233"/>
    </row>
    <row r="42" spans="2:12" ht="13.8" thickTop="1">
      <c r="G42" s="782"/>
      <c r="H42" s="782"/>
      <c r="I42" s="782"/>
    </row>
    <row r="50" spans="2:12" ht="13.8">
      <c r="B50" s="1765" t="s">
        <v>3444</v>
      </c>
      <c r="C50" s="1765"/>
      <c r="D50" s="1765"/>
      <c r="E50" s="1765"/>
      <c r="F50" s="1765"/>
      <c r="G50" s="1765"/>
      <c r="H50" s="1765"/>
      <c r="I50" s="1765"/>
      <c r="J50" s="1765"/>
      <c r="K50" s="1765"/>
      <c r="L50" s="1765"/>
    </row>
  </sheetData>
  <sheetProtection algorithmName="SHA-512" hashValue="bxUKn1vZ6mw9swc06BxU3lFbpJLx7JFSbFcRP8peI9vi/AiYhpFEjegf6HqmVkoP6zG4gBoT3HhsRflxbWQxtQ==" saltValue="dn78Y6b+9er0iOO47XavQg=="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0:L50"/>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Sheet281">
    <tabColor theme="3" tint="0.79998168889431442"/>
  </sheetPr>
  <dimension ref="B2: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2" spans="2:21" ht="20.399999999999999">
      <c r="B2" s="1870" t="s">
        <v>606</v>
      </c>
      <c r="C2" s="1870"/>
      <c r="D2" s="1870"/>
      <c r="E2" s="1870"/>
      <c r="F2" s="1870"/>
      <c r="G2" s="1870"/>
      <c r="H2" s="1870"/>
      <c r="I2" s="1870"/>
      <c r="J2" s="1870"/>
      <c r="K2" s="1870"/>
      <c r="L2" s="1870"/>
    </row>
    <row r="3" spans="2:21" ht="20.399999999999999">
      <c r="B3" s="1788" t="str">
        <f>"AND  "&amp;TEXT('KEY INPUTS'!D34+1,"0")&amp;"  DEBT  SERVICE  FOR  LOANS"</f>
        <v>AND  2020  DEBT  SERVICE  FOR  LOANS</v>
      </c>
      <c r="C3" s="1788"/>
      <c r="D3" s="1788"/>
      <c r="E3" s="1788"/>
      <c r="F3" s="1788"/>
      <c r="G3" s="1788"/>
      <c r="H3" s="1788"/>
      <c r="I3" s="1788"/>
      <c r="J3" s="1788"/>
      <c r="K3" s="1788"/>
      <c r="L3" s="1788"/>
    </row>
    <row r="4" spans="2:21" ht="15.6">
      <c r="B4" s="1761" t="str">
        <f>UPPER('KEY INPUTS'!D$57)&amp;"  UTILITY"&amp;" ________________ LOAN"</f>
        <v xml:space="preserve">  UTILITY ________________ LOAN</v>
      </c>
      <c r="C4" s="1761"/>
      <c r="D4" s="1761"/>
      <c r="E4" s="1761"/>
      <c r="F4" s="1761"/>
      <c r="G4" s="1761"/>
      <c r="H4" s="1761"/>
      <c r="I4" s="1761"/>
      <c r="J4" s="1761"/>
      <c r="K4" s="1761"/>
      <c r="L4" s="1761"/>
    </row>
    <row r="5" spans="2:21" ht="9.75" customHeight="1" thickBot="1">
      <c r="B5" s="1387"/>
      <c r="C5" s="1387"/>
      <c r="D5" s="1387"/>
      <c r="E5" s="1387"/>
      <c r="F5" s="1387"/>
      <c r="G5" s="1387"/>
      <c r="H5" s="1387"/>
      <c r="I5" s="1387"/>
      <c r="J5" s="1387"/>
      <c r="K5" s="1387"/>
      <c r="L5" s="1387"/>
    </row>
    <row r="6" spans="2:21" ht="27.75" customHeight="1" thickTop="1" thickBot="1">
      <c r="B6" s="1388"/>
      <c r="C6" s="1388"/>
      <c r="D6" s="1388"/>
      <c r="E6" s="1388"/>
      <c r="F6" s="1388"/>
      <c r="G6" s="1134" t="s">
        <v>125</v>
      </c>
      <c r="H6" s="1937" t="s">
        <v>126</v>
      </c>
      <c r="I6" s="1786"/>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58"/>
      <c r="D7" s="1158"/>
      <c r="E7" s="1158"/>
      <c r="F7" s="1158"/>
      <c r="G7" s="1088" t="s">
        <v>787</v>
      </c>
      <c r="H7" s="1705"/>
      <c r="I7" s="1706"/>
      <c r="K7" s="1146"/>
      <c r="L7" s="1146"/>
      <c r="O7" s="322"/>
      <c r="P7" s="322"/>
      <c r="Q7" s="322"/>
      <c r="R7" s="322"/>
      <c r="S7" s="322"/>
      <c r="T7" s="322"/>
      <c r="U7" s="322"/>
    </row>
    <row r="8" spans="2:21" ht="21" customHeight="1">
      <c r="B8" s="690" t="s">
        <v>113</v>
      </c>
      <c r="C8" s="1139"/>
      <c r="D8" s="1139"/>
      <c r="E8" s="1139"/>
      <c r="F8" s="1139"/>
      <c r="G8" s="973" t="s">
        <v>787</v>
      </c>
      <c r="H8" s="1679"/>
      <c r="I8" s="1680"/>
      <c r="K8" s="1146"/>
      <c r="L8" s="1146"/>
      <c r="O8" s="377"/>
      <c r="P8" s="322"/>
      <c r="Q8" s="322"/>
      <c r="R8" s="322"/>
      <c r="S8" s="322"/>
      <c r="T8" s="322"/>
      <c r="U8" s="322"/>
    </row>
    <row r="9" spans="2:21" ht="21" customHeight="1">
      <c r="B9" s="690"/>
      <c r="C9" s="1139"/>
      <c r="D9" s="1139"/>
      <c r="E9" s="1139"/>
      <c r="F9" s="1139"/>
      <c r="G9" s="973"/>
      <c r="H9" s="1389"/>
      <c r="I9" s="1390"/>
      <c r="K9" s="1146"/>
      <c r="L9" s="1146"/>
      <c r="O9" s="322"/>
      <c r="P9" s="322"/>
      <c r="Q9" s="322"/>
      <c r="R9" s="322"/>
      <c r="S9" s="322"/>
      <c r="T9" s="322"/>
      <c r="U9" s="322"/>
    </row>
    <row r="10" spans="2:21" ht="21" customHeight="1">
      <c r="B10" s="690" t="s">
        <v>326</v>
      </c>
      <c r="C10" s="1139"/>
      <c r="D10" s="1139"/>
      <c r="E10" s="1139"/>
      <c r="F10" s="1139"/>
      <c r="G10" s="601"/>
      <c r="H10" s="1685" t="s">
        <v>787</v>
      </c>
      <c r="I10" s="1686"/>
      <c r="K10" s="1146"/>
      <c r="L10" s="1146"/>
      <c r="O10" s="322"/>
      <c r="P10" s="322"/>
      <c r="Q10" s="322"/>
      <c r="R10" s="322"/>
      <c r="S10" s="322"/>
      <c r="T10" s="322"/>
      <c r="U10" s="322"/>
    </row>
    <row r="11" spans="2:21" ht="21" customHeight="1" thickBot="1">
      <c r="B11" s="690" t="str">
        <f>'KEY INPUTS'!D28</f>
        <v>Outstanding - December 31, 2019</v>
      </c>
      <c r="C11" s="1139"/>
      <c r="D11" s="1139"/>
      <c r="E11" s="1139"/>
      <c r="F11" s="1139"/>
      <c r="G11" s="1089">
        <f>+H7+H8-G10</f>
        <v>0</v>
      </c>
      <c r="H11" s="1677" t="s">
        <v>787</v>
      </c>
      <c r="I11" s="1678"/>
      <c r="K11" s="1146"/>
      <c r="L11" s="1146"/>
      <c r="O11" s="322"/>
      <c r="P11" s="322"/>
      <c r="Q11" s="322"/>
      <c r="R11" s="322"/>
      <c r="S11" s="322"/>
      <c r="T11" s="322"/>
      <c r="U11" s="322"/>
    </row>
    <row r="12" spans="2:21" ht="21" customHeight="1" thickBot="1">
      <c r="B12" s="1114"/>
      <c r="C12" s="1146"/>
      <c r="D12" s="1146"/>
      <c r="E12" s="1146"/>
      <c r="F12" s="1146"/>
      <c r="G12" s="1083">
        <f>SUM(G7:G11)</f>
        <v>0</v>
      </c>
      <c r="H12" s="1683">
        <f>SUM(H7:I11)</f>
        <v>0</v>
      </c>
      <c r="I12" s="1684"/>
      <c r="K12" s="1146"/>
      <c r="L12" s="1146"/>
      <c r="O12" s="322"/>
      <c r="P12" s="322"/>
      <c r="Q12" s="322"/>
      <c r="R12" s="322"/>
      <c r="S12" s="322"/>
      <c r="T12" s="322"/>
      <c r="U12" s="322"/>
    </row>
    <row r="13" spans="2:21" ht="21" customHeight="1" thickTop="1">
      <c r="B13" s="1382" t="str">
        <f>TEXT('KEY INPUTS'!D34+1,"0")&amp;" Loan Maturities"</f>
        <v>2020 Loan Maturities</v>
      </c>
      <c r="C13" s="1391"/>
      <c r="D13" s="1391"/>
      <c r="E13" s="1391"/>
      <c r="F13" s="1391"/>
      <c r="G13" s="1391"/>
      <c r="H13" s="1391"/>
      <c r="I13" s="1392"/>
      <c r="J13" s="479" t="s">
        <v>482</v>
      </c>
      <c r="K13" s="1714"/>
      <c r="L13" s="1714"/>
      <c r="O13" s="322"/>
      <c r="P13" s="322"/>
      <c r="Q13" s="322"/>
      <c r="R13" s="322"/>
      <c r="S13" s="322"/>
      <c r="T13" s="322"/>
      <c r="U13" s="322"/>
    </row>
    <row r="14" spans="2:21" ht="21" customHeight="1" thickBot="1">
      <c r="B14" s="1383" t="str">
        <f>TEXT('KEY INPUTS'!D34+1,"0")&amp;" Interest on Loans"</f>
        <v>2020 Interest on Loans</v>
      </c>
      <c r="C14" s="1162"/>
      <c r="D14" s="1162"/>
      <c r="E14" s="1162"/>
      <c r="F14" s="1162"/>
      <c r="G14" s="1375"/>
      <c r="H14" s="413" t="s">
        <v>482</v>
      </c>
      <c r="I14" s="674"/>
      <c r="K14" s="1146"/>
      <c r="L14" s="1146"/>
      <c r="O14" s="322"/>
      <c r="P14" s="322"/>
      <c r="Q14" s="322"/>
      <c r="R14" s="322"/>
      <c r="S14" s="322"/>
      <c r="T14" s="322"/>
      <c r="U14" s="322"/>
    </row>
    <row r="15" spans="2:21" ht="16.5" customHeight="1" thickTop="1">
      <c r="B15" s="1956"/>
      <c r="C15" s="1956"/>
      <c r="D15" s="1956"/>
      <c r="E15" s="1956"/>
      <c r="F15" s="1956"/>
      <c r="G15" s="1956"/>
      <c r="H15" s="1956"/>
      <c r="I15" s="1957"/>
      <c r="K15" s="1146"/>
      <c r="L15" s="1146"/>
      <c r="O15" s="322"/>
      <c r="P15" s="322"/>
      <c r="Q15" s="322"/>
      <c r="R15" s="322"/>
      <c r="S15" s="322"/>
      <c r="T15" s="322"/>
      <c r="U15" s="322"/>
    </row>
    <row r="16" spans="2:21" ht="26.25" customHeight="1" thickBot="1">
      <c r="B16" s="1935" t="str">
        <f>UPPER('KEY INPUTS'!D$57)&amp;"  UTILITY"&amp;" ________________ LOAN"</f>
        <v xml:space="preserve">  UTILITY ________________ LOAN</v>
      </c>
      <c r="C16" s="1935"/>
      <c r="D16" s="1935"/>
      <c r="E16" s="1935"/>
      <c r="F16" s="1935"/>
      <c r="G16" s="1935"/>
      <c r="H16" s="1935"/>
      <c r="I16" s="1936"/>
      <c r="K16" s="1146"/>
      <c r="L16" s="1146"/>
      <c r="O16" s="322"/>
      <c r="P16" s="322"/>
      <c r="Q16" s="322"/>
      <c r="R16" s="322"/>
      <c r="S16" s="322"/>
      <c r="T16" s="322"/>
      <c r="U16" s="322"/>
    </row>
    <row r="17" spans="2:21" ht="21" customHeight="1" thickTop="1">
      <c r="B17" s="1211" t="str">
        <f>'KEY INPUTS'!D27</f>
        <v>Outstanding - January 1, 2019</v>
      </c>
      <c r="C17" s="1158"/>
      <c r="D17" s="1158"/>
      <c r="E17" s="1158"/>
      <c r="F17" s="1158"/>
      <c r="G17" s="1088" t="s">
        <v>787</v>
      </c>
      <c r="H17" s="1705"/>
      <c r="I17" s="1706"/>
      <c r="K17" s="1146"/>
      <c r="L17" s="1146"/>
      <c r="O17" s="322"/>
      <c r="P17" s="322"/>
      <c r="Q17" s="322"/>
      <c r="R17" s="322"/>
      <c r="S17" s="322"/>
      <c r="T17" s="322"/>
      <c r="U17" s="322"/>
    </row>
    <row r="18" spans="2:21" ht="21" customHeight="1">
      <c r="B18" s="690" t="s">
        <v>113</v>
      </c>
      <c r="C18" s="1139"/>
      <c r="D18" s="1139"/>
      <c r="E18" s="1139"/>
      <c r="F18" s="1139"/>
      <c r="G18" s="973" t="s">
        <v>787</v>
      </c>
      <c r="H18" s="1679"/>
      <c r="I18" s="1680"/>
      <c r="K18" s="1146"/>
      <c r="L18" s="1146"/>
      <c r="O18" s="322"/>
      <c r="P18" s="322"/>
      <c r="Q18" s="322"/>
      <c r="R18" s="322"/>
      <c r="S18" s="322"/>
      <c r="T18" s="322"/>
      <c r="U18" s="322"/>
    </row>
    <row r="19" spans="2:21" ht="21" customHeight="1">
      <c r="B19" s="690" t="s">
        <v>326</v>
      </c>
      <c r="C19" s="1139"/>
      <c r="D19" s="1139"/>
      <c r="E19" s="1139"/>
      <c r="F19" s="1139"/>
      <c r="G19" s="601"/>
      <c r="H19" s="1685" t="s">
        <v>787</v>
      </c>
      <c r="I19" s="1686"/>
      <c r="K19" s="1146"/>
      <c r="L19" s="1146"/>
      <c r="O19" s="322"/>
      <c r="P19" s="322"/>
      <c r="Q19" s="322"/>
      <c r="R19" s="322"/>
      <c r="S19" s="322"/>
      <c r="T19" s="322"/>
      <c r="U19" s="322"/>
    </row>
    <row r="20" spans="2:21" ht="21" customHeight="1">
      <c r="B20" s="690"/>
      <c r="C20" s="1139"/>
      <c r="D20" s="1139"/>
      <c r="E20" s="1139"/>
      <c r="F20" s="1139"/>
      <c r="G20" s="1105"/>
      <c r="H20" s="1707"/>
      <c r="I20" s="1708"/>
      <c r="K20" s="1146"/>
      <c r="L20" s="1146"/>
      <c r="O20" s="322"/>
      <c r="P20" s="322"/>
      <c r="Q20" s="322"/>
      <c r="R20" s="322"/>
      <c r="S20" s="322"/>
      <c r="T20" s="322"/>
      <c r="U20" s="322"/>
    </row>
    <row r="21" spans="2:21" ht="21" customHeight="1">
      <c r="B21" s="690"/>
      <c r="C21" s="1139"/>
      <c r="D21" s="1139"/>
      <c r="E21" s="1139"/>
      <c r="F21" s="1139"/>
      <c r="G21" s="1105"/>
      <c r="H21" s="1707"/>
      <c r="I21" s="1708"/>
      <c r="K21" s="1146"/>
      <c r="L21" s="1146"/>
      <c r="O21" s="322"/>
      <c r="P21" s="322"/>
      <c r="Q21" s="322"/>
      <c r="R21" s="322"/>
      <c r="S21" s="322"/>
      <c r="T21" s="322"/>
      <c r="U21" s="322"/>
    </row>
    <row r="22" spans="2:21" ht="21" customHeight="1" thickBot="1">
      <c r="B22" s="690" t="str">
        <f>'KEY INPUTS'!D28</f>
        <v>Outstanding - December 31, 2019</v>
      </c>
      <c r="C22" s="1139"/>
      <c r="D22" s="1139"/>
      <c r="E22" s="1139"/>
      <c r="F22" s="1139"/>
      <c r="G22" s="1089">
        <f>+H17+H18-G19-G20-G21+H20+H21</f>
        <v>0</v>
      </c>
      <c r="H22" s="1677" t="s">
        <v>787</v>
      </c>
      <c r="I22" s="1678"/>
      <c r="K22" s="1146"/>
      <c r="L22" s="1146"/>
      <c r="O22" s="322"/>
      <c r="P22" s="322"/>
      <c r="Q22" s="322"/>
      <c r="R22" s="322"/>
      <c r="S22" s="322"/>
      <c r="T22" s="322"/>
      <c r="U22" s="322"/>
    </row>
    <row r="23" spans="2:21" ht="21" customHeight="1" thickBot="1">
      <c r="B23" s="1114"/>
      <c r="C23" s="1146"/>
      <c r="D23" s="1146"/>
      <c r="E23" s="1146"/>
      <c r="F23" s="1146"/>
      <c r="G23" s="1083">
        <f>SUM(G17:G22)</f>
        <v>0</v>
      </c>
      <c r="H23" s="1683">
        <f>SUM(H17:I22)</f>
        <v>0</v>
      </c>
      <c r="I23" s="1684"/>
      <c r="K23" s="1146"/>
      <c r="L23" s="1146"/>
    </row>
    <row r="24" spans="2:21" ht="21" customHeight="1" thickTop="1">
      <c r="B24" s="1382" t="str">
        <f>TEXT('KEY INPUTS'!D34+1,"0")&amp;" Loan Maturities"</f>
        <v>2020 Loan Maturities</v>
      </c>
      <c r="C24" s="1391"/>
      <c r="D24" s="1391"/>
      <c r="E24" s="1391"/>
      <c r="F24" s="1391"/>
      <c r="G24" s="1391"/>
      <c r="H24" s="1391"/>
      <c r="I24" s="1392"/>
      <c r="J24" s="479" t="s">
        <v>482</v>
      </c>
      <c r="K24" s="1714"/>
      <c r="L24" s="1714"/>
    </row>
    <row r="25" spans="2:21" ht="21" customHeight="1" thickBot="1">
      <c r="B25" s="1383" t="str">
        <f>TEXT('KEY INPUTS'!D34+1,"0")&amp;" Interest on Loans"</f>
        <v>2020 Interest on Loans</v>
      </c>
      <c r="C25" s="1162"/>
      <c r="D25" s="1162"/>
      <c r="E25" s="1162"/>
      <c r="F25" s="1162"/>
      <c r="G25" s="1375"/>
      <c r="H25" s="413" t="s">
        <v>482</v>
      </c>
      <c r="I25" s="608"/>
      <c r="J25" s="505"/>
      <c r="K25" s="1162"/>
      <c r="L25" s="1162"/>
    </row>
    <row r="26" spans="2:21" ht="21" customHeight="1" thickTop="1">
      <c r="B26" s="1146"/>
      <c r="C26" s="1146"/>
      <c r="D26" s="1146"/>
      <c r="E26" s="1146"/>
      <c r="F26" s="1146"/>
      <c r="G26" s="1146"/>
      <c r="H26" s="1146"/>
      <c r="I26" s="1146"/>
      <c r="J26" s="1146"/>
      <c r="K26" s="1146"/>
      <c r="L26" s="1146"/>
    </row>
    <row r="27" spans="2:21" ht="19.5" customHeight="1" thickBot="1">
      <c r="B27" s="1935" t="str">
        <f>"INTEREST  ON  LOANS  - "&amp;UPPER('KEY INPUTS'!D57)&amp;"  UTILITY  BUDGET"</f>
        <v>INTEREST  ON  LOANS  -   UTILITY  BUDGET</v>
      </c>
      <c r="C27" s="1935"/>
      <c r="D27" s="1935"/>
      <c r="E27" s="1935"/>
      <c r="F27" s="1935"/>
      <c r="G27" s="1935"/>
      <c r="H27" s="1935"/>
      <c r="I27" s="1935"/>
      <c r="J27" s="1935"/>
      <c r="K27" s="1935"/>
      <c r="L27" s="1935"/>
    </row>
    <row r="28" spans="2:21" ht="21" customHeight="1" thickTop="1">
      <c r="B28" s="1394" t="str">
        <f>TEXT('KEY INPUTS'!D34+1,"0")&amp;" Interest on Loans (*Items)"</f>
        <v>2020 Interest on Loans (*Items)</v>
      </c>
      <c r="C28" s="1170"/>
      <c r="D28" s="1158"/>
      <c r="E28" s="1158"/>
      <c r="F28" s="1158"/>
      <c r="G28" s="1158"/>
      <c r="H28" s="1158" t="s">
        <v>482</v>
      </c>
      <c r="I28" s="1393">
        <f>+I25+I14</f>
        <v>0</v>
      </c>
      <c r="K28" s="1146"/>
      <c r="L28" s="1146"/>
    </row>
    <row r="29" spans="2:21" ht="21" customHeight="1">
      <c r="B29" s="914" t="str">
        <f>"Less: Interest Accrued to "&amp;TEXT('KEY INPUTS'!D29,"mm/dd/yyy")&amp;" (Trial Balance)"</f>
        <v>Less: Interest Accrued to 12/31/2019 (Trial Balance)</v>
      </c>
      <c r="C29" s="690"/>
      <c r="D29" s="1139"/>
      <c r="E29" s="1139"/>
      <c r="F29" s="1139"/>
      <c r="G29" s="1139"/>
      <c r="H29" s="334" t="s">
        <v>482</v>
      </c>
      <c r="I29" s="600"/>
      <c r="K29" s="1146"/>
      <c r="L29" s="1146"/>
    </row>
    <row r="30" spans="2:21" ht="21" customHeight="1">
      <c r="B30" s="690"/>
      <c r="C30" s="690" t="s">
        <v>421</v>
      </c>
      <c r="D30" s="1139"/>
      <c r="E30" s="1139"/>
      <c r="F30" s="1139"/>
      <c r="G30" s="1139"/>
      <c r="H30" s="334" t="s">
        <v>482</v>
      </c>
      <c r="I30" s="512">
        <f>+I28-I29</f>
        <v>0</v>
      </c>
      <c r="K30" s="1146"/>
      <c r="L30" s="1146"/>
    </row>
    <row r="31" spans="2:21" ht="21" customHeight="1">
      <c r="B31" s="914" t="str">
        <f>"Add: Interest to be Accrued as of "&amp;TEXT('KEY INPUTS'!D30,"mm/dd/yyyy")&amp;""</f>
        <v>Add: Interest to be Accrued as of 12/31/2020</v>
      </c>
      <c r="C31" s="690"/>
      <c r="D31" s="1139"/>
      <c r="E31" s="1139"/>
      <c r="F31" s="1139"/>
      <c r="G31" s="1139"/>
      <c r="H31" s="334" t="s">
        <v>482</v>
      </c>
      <c r="I31" s="600"/>
      <c r="K31" s="1146"/>
      <c r="L31" s="1146"/>
    </row>
    <row r="32" spans="2:21" ht="21" customHeight="1">
      <c r="B32" s="914" t="str">
        <f>"Required Appropriation "&amp;TEXT('KEY INPUTS'!D34+1,"0")</f>
        <v>Required Appropriation 2020</v>
      </c>
      <c r="C32" s="690"/>
      <c r="D32" s="1139"/>
      <c r="E32" s="1139"/>
      <c r="F32" s="1139"/>
      <c r="G32" s="1139"/>
      <c r="H32" s="334"/>
      <c r="I32" s="1165"/>
      <c r="J32" s="1430" t="s">
        <v>482</v>
      </c>
      <c r="K32" s="1939">
        <f>+I30+I31</f>
        <v>0</v>
      </c>
      <c r="L32" s="1940"/>
    </row>
    <row r="33" spans="2:12" ht="13.5" customHeight="1">
      <c r="B33" s="1262"/>
      <c r="C33" s="1262"/>
      <c r="D33" s="1262"/>
      <c r="E33" s="1262"/>
      <c r="F33" s="1262"/>
      <c r="G33" s="1262"/>
      <c r="H33" s="1262"/>
      <c r="I33" s="1262"/>
      <c r="J33" s="1262"/>
      <c r="K33" s="1429"/>
      <c r="L33" s="1270"/>
    </row>
    <row r="34" spans="2:12" ht="13.5" customHeight="1">
      <c r="B34" s="1262"/>
      <c r="C34" s="1262"/>
      <c r="D34" s="1262"/>
      <c r="E34" s="1262"/>
      <c r="F34" s="1262"/>
      <c r="G34" s="1262"/>
      <c r="H34" s="1262"/>
      <c r="I34" s="1262"/>
      <c r="J34" s="1262"/>
      <c r="K34" s="1429"/>
      <c r="L34" s="1270"/>
    </row>
    <row r="35" spans="2:12" ht="21" customHeight="1" thickBot="1">
      <c r="B35" s="1938" t="str">
        <f>"LIST  OF  LOANS  ISSUED  DURING  "&amp;TEXT('KEY INPUTS'!D34,"0")&amp;""</f>
        <v>LIST  OF  LOANS  ISSUED  DURING  2019</v>
      </c>
      <c r="C35" s="1938"/>
      <c r="D35" s="1938"/>
      <c r="E35" s="1938"/>
      <c r="F35" s="1938"/>
      <c r="G35" s="1938"/>
      <c r="H35" s="1938"/>
      <c r="I35" s="1938"/>
      <c r="J35" s="1938"/>
      <c r="K35" s="1938"/>
      <c r="L35" s="1938"/>
    </row>
    <row r="36" spans="2:12" ht="27" customHeight="1" thickTop="1" thickBot="1">
      <c r="B36" s="1785" t="s">
        <v>532</v>
      </c>
      <c r="C36" s="1785"/>
      <c r="D36" s="1785"/>
      <c r="E36" s="1785"/>
      <c r="F36" s="1785"/>
      <c r="G36" s="1397" t="str">
        <f>TEXT('KEY INPUTS'!D34,"0")&amp;" Maturity"</f>
        <v>2019 Maturity</v>
      </c>
      <c r="H36" s="1937" t="s">
        <v>109</v>
      </c>
      <c r="I36" s="1786"/>
      <c r="J36" s="1941" t="s">
        <v>107</v>
      </c>
      <c r="K36" s="1942"/>
      <c r="L36" s="1398"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162"/>
      <c r="C41" s="1162"/>
      <c r="D41" s="1162"/>
      <c r="E41" s="1162"/>
      <c r="F41" s="1163"/>
      <c r="G41" s="1083">
        <f>SUM(G37:G40)</f>
        <v>0</v>
      </c>
      <c r="H41" s="1703">
        <f>SUM(H37:I40)</f>
        <v>0</v>
      </c>
      <c r="I41" s="1704"/>
      <c r="J41" s="1396"/>
      <c r="K41" s="1162"/>
      <c r="L41" s="1156"/>
    </row>
    <row r="42" spans="2:12" ht="13.8" thickTop="1">
      <c r="G42" s="504"/>
      <c r="H42" s="504"/>
      <c r="I42" s="504"/>
    </row>
    <row r="51" spans="2:12" ht="13.8">
      <c r="B51" s="1812" t="s">
        <v>3445</v>
      </c>
      <c r="C51" s="1812"/>
      <c r="D51" s="1812"/>
      <c r="E51" s="1812"/>
      <c r="F51" s="1812"/>
      <c r="G51" s="1812"/>
      <c r="H51" s="1812"/>
      <c r="I51" s="1812"/>
      <c r="J51" s="1812"/>
      <c r="K51" s="1812"/>
      <c r="L51" s="1812"/>
    </row>
  </sheetData>
  <sheetProtection algorithmName="SHA-512" hashValue="C8z67769vo4qK9Q5kyPsGif5TLIj3xtLHrNLD2WRdg220nNEd+bCS21vHlzqSKe0fjY26xFxqo1IxWHTO8CKng==" saltValue="FCWpG67ryRkC8Rghvdi+jA=="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Sheet282">
    <tabColor theme="3" tint="0.79998168889431442"/>
  </sheetPr>
  <dimension ref="B2:U51"/>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5" width="17.88671875" style="331" customWidth="1"/>
    <col min="6" max="6" width="9.109375" style="331"/>
    <col min="7" max="7" width="16.6640625" style="331" customWidth="1"/>
    <col min="8" max="8" width="1.6640625" style="331" customWidth="1"/>
    <col min="9" max="9" width="15.6640625" style="331" customWidth="1"/>
    <col min="10" max="10" width="1.6640625" style="331" customWidth="1"/>
    <col min="11" max="11" width="8.6640625" style="331" customWidth="1"/>
    <col min="12" max="12" width="7.6640625" style="331" customWidth="1"/>
    <col min="13" max="16384" width="9.109375" style="331"/>
  </cols>
  <sheetData>
    <row r="2" spans="2:21" ht="20.399999999999999">
      <c r="B2" s="1870" t="s">
        <v>606</v>
      </c>
      <c r="C2" s="1870"/>
      <c r="D2" s="1870"/>
      <c r="E2" s="1870"/>
      <c r="F2" s="1870"/>
      <c r="G2" s="1870"/>
      <c r="H2" s="1870"/>
      <c r="I2" s="1870"/>
      <c r="J2" s="1870"/>
      <c r="K2" s="1870"/>
      <c r="L2" s="1870"/>
    </row>
    <row r="3" spans="2:21" ht="20.399999999999999">
      <c r="B3" s="1788" t="str">
        <f>"AND  "&amp;TEXT('KEY INPUTS'!D34+1,"0")&amp;"  DEBT  SERVICE  FOR  LOANS"</f>
        <v>AND  2020  DEBT  SERVICE  FOR  LOANS</v>
      </c>
      <c r="C3" s="1788"/>
      <c r="D3" s="1788"/>
      <c r="E3" s="1788"/>
      <c r="F3" s="1788"/>
      <c r="G3" s="1788"/>
      <c r="H3" s="1788"/>
      <c r="I3" s="1788"/>
      <c r="J3" s="1788"/>
      <c r="K3" s="1788"/>
      <c r="L3" s="1788"/>
    </row>
    <row r="4" spans="2:21" ht="15.6">
      <c r="B4" s="1761" t="str">
        <f>UPPER('KEY INPUTS'!D$57)&amp;"  UTILITY"&amp;" ________________ LOAN"</f>
        <v xml:space="preserve">  UTILITY ________________ LOAN</v>
      </c>
      <c r="C4" s="1761"/>
      <c r="D4" s="1761"/>
      <c r="E4" s="1761"/>
      <c r="F4" s="1761"/>
      <c r="G4" s="1761"/>
      <c r="H4" s="1761"/>
      <c r="I4" s="1761"/>
      <c r="J4" s="1761"/>
      <c r="K4" s="1761"/>
      <c r="L4" s="1761"/>
    </row>
    <row r="5" spans="2:21" ht="9.75" customHeight="1" thickBot="1">
      <c r="B5" s="1387"/>
      <c r="C5" s="1387"/>
      <c r="D5" s="1387"/>
      <c r="E5" s="1387"/>
      <c r="F5" s="1387"/>
      <c r="G5" s="1387"/>
      <c r="H5" s="1387"/>
      <c r="I5" s="1387"/>
      <c r="J5" s="1387"/>
      <c r="K5" s="1387"/>
      <c r="L5" s="1387"/>
    </row>
    <row r="6" spans="2:21" ht="27.75" customHeight="1" thickTop="1" thickBot="1">
      <c r="B6" s="1388"/>
      <c r="C6" s="1388"/>
      <c r="D6" s="1388"/>
      <c r="E6" s="1388"/>
      <c r="F6" s="1388"/>
      <c r="G6" s="1134" t="s">
        <v>125</v>
      </c>
      <c r="H6" s="1937" t="s">
        <v>126</v>
      </c>
      <c r="I6" s="1786"/>
      <c r="J6" s="1933" t="str">
        <f>'KEY INPUTS'!D34&amp;" Debt
Service"</f>
        <v>2019 Debt
Service</v>
      </c>
      <c r="K6" s="1934"/>
      <c r="L6" s="1934"/>
      <c r="O6" s="322"/>
      <c r="P6" s="322"/>
      <c r="Q6" s="322"/>
      <c r="R6" s="322"/>
      <c r="S6" s="322"/>
      <c r="T6" s="322"/>
      <c r="U6" s="322"/>
    </row>
    <row r="7" spans="2:21" ht="21" customHeight="1" thickTop="1">
      <c r="B7" s="1211" t="str">
        <f>'KEY INPUTS'!D27</f>
        <v>Outstanding - January 1, 2019</v>
      </c>
      <c r="C7" s="1158"/>
      <c r="D7" s="1158"/>
      <c r="E7" s="1158"/>
      <c r="F7" s="1158"/>
      <c r="G7" s="1088" t="s">
        <v>787</v>
      </c>
      <c r="H7" s="1705"/>
      <c r="I7" s="1706"/>
      <c r="J7" s="1146"/>
      <c r="K7" s="1146"/>
      <c r="L7" s="1146"/>
      <c r="O7" s="322"/>
      <c r="P7" s="322"/>
      <c r="Q7" s="322"/>
      <c r="R7" s="322"/>
      <c r="S7" s="322"/>
      <c r="T7" s="322"/>
      <c r="U7" s="322"/>
    </row>
    <row r="8" spans="2:21" ht="21" customHeight="1">
      <c r="B8" s="690" t="s">
        <v>113</v>
      </c>
      <c r="C8" s="1139"/>
      <c r="D8" s="1139"/>
      <c r="E8" s="1139"/>
      <c r="F8" s="1139"/>
      <c r="G8" s="973" t="s">
        <v>787</v>
      </c>
      <c r="H8" s="1679"/>
      <c r="I8" s="1680"/>
      <c r="J8" s="1146"/>
      <c r="K8" s="1146"/>
      <c r="L8" s="1146"/>
      <c r="O8" s="377"/>
      <c r="P8" s="322"/>
      <c r="Q8" s="322"/>
      <c r="R8" s="322"/>
      <c r="S8" s="322"/>
      <c r="T8" s="322"/>
      <c r="U8" s="322"/>
    </row>
    <row r="9" spans="2:21" ht="21" customHeight="1">
      <c r="B9" s="690"/>
      <c r="C9" s="1139"/>
      <c r="D9" s="1139"/>
      <c r="E9" s="1139"/>
      <c r="F9" s="1139"/>
      <c r="G9" s="973"/>
      <c r="H9" s="1389"/>
      <c r="I9" s="1390"/>
      <c r="J9" s="1146"/>
      <c r="K9" s="1146"/>
      <c r="L9" s="1146"/>
      <c r="O9" s="322"/>
      <c r="P9" s="322"/>
      <c r="Q9" s="322"/>
      <c r="R9" s="322"/>
      <c r="S9" s="322"/>
      <c r="T9" s="322"/>
      <c r="U9" s="322"/>
    </row>
    <row r="10" spans="2:21" ht="21" customHeight="1">
      <c r="B10" s="690" t="s">
        <v>326</v>
      </c>
      <c r="C10" s="1139"/>
      <c r="D10" s="1139"/>
      <c r="E10" s="1139"/>
      <c r="F10" s="1139"/>
      <c r="G10" s="601"/>
      <c r="H10" s="1685" t="s">
        <v>787</v>
      </c>
      <c r="I10" s="1686"/>
      <c r="J10" s="1146"/>
      <c r="K10" s="1146"/>
      <c r="L10" s="1146"/>
      <c r="O10" s="322"/>
      <c r="P10" s="322"/>
      <c r="Q10" s="322"/>
      <c r="R10" s="322"/>
      <c r="S10" s="322"/>
      <c r="T10" s="322"/>
      <c r="U10" s="322"/>
    </row>
    <row r="11" spans="2:21" ht="21" customHeight="1" thickBot="1">
      <c r="B11" s="690" t="str">
        <f>'KEY INPUTS'!D28</f>
        <v>Outstanding - December 31, 2019</v>
      </c>
      <c r="C11" s="1139"/>
      <c r="D11" s="1139"/>
      <c r="E11" s="1139"/>
      <c r="F11" s="1139"/>
      <c r="G11" s="1089">
        <f>+H7+H8-G10</f>
        <v>0</v>
      </c>
      <c r="H11" s="1677" t="s">
        <v>787</v>
      </c>
      <c r="I11" s="1678"/>
      <c r="J11" s="1146"/>
      <c r="K11" s="1146"/>
      <c r="L11" s="1146"/>
      <c r="O11" s="322"/>
      <c r="P11" s="322"/>
      <c r="Q11" s="322"/>
      <c r="R11" s="322"/>
      <c r="S11" s="322"/>
      <c r="T11" s="322"/>
      <c r="U11" s="322"/>
    </row>
    <row r="12" spans="2:21" ht="21" customHeight="1" thickBot="1">
      <c r="B12" s="1114"/>
      <c r="C12" s="1146"/>
      <c r="D12" s="1146"/>
      <c r="E12" s="1146"/>
      <c r="F12" s="1146"/>
      <c r="G12" s="1083">
        <f>SUM(G7:G11)</f>
        <v>0</v>
      </c>
      <c r="H12" s="1683">
        <f>SUM(H7:I11)</f>
        <v>0</v>
      </c>
      <c r="I12" s="1684"/>
      <c r="J12" s="1146"/>
      <c r="K12" s="1146"/>
      <c r="L12" s="1146"/>
      <c r="O12" s="322"/>
      <c r="P12" s="322"/>
      <c r="Q12" s="322"/>
      <c r="R12" s="322"/>
      <c r="S12" s="322"/>
      <c r="T12" s="322"/>
      <c r="U12" s="322"/>
    </row>
    <row r="13" spans="2:21" ht="21" customHeight="1" thickTop="1">
      <c r="B13" s="1382" t="str">
        <f>TEXT('KEY INPUTS'!D34+1,"0")&amp;" Loan Maturities"</f>
        <v>2020 Loan Maturities</v>
      </c>
      <c r="C13" s="1391"/>
      <c r="D13" s="1391"/>
      <c r="E13" s="1391"/>
      <c r="F13" s="1391"/>
      <c r="G13" s="1391"/>
      <c r="H13" s="1391"/>
      <c r="I13" s="1392"/>
      <c r="J13" s="479" t="s">
        <v>482</v>
      </c>
      <c r="K13" s="1714"/>
      <c r="L13" s="1714"/>
      <c r="O13" s="322"/>
      <c r="P13" s="322"/>
      <c r="Q13" s="322"/>
      <c r="R13" s="322"/>
      <c r="S13" s="322"/>
      <c r="T13" s="322"/>
      <c r="U13" s="322"/>
    </row>
    <row r="14" spans="2:21" ht="21" customHeight="1" thickBot="1">
      <c r="B14" s="1383" t="str">
        <f>TEXT('KEY INPUTS'!D34+1,"0")&amp;" Interest on Loans"</f>
        <v>2020 Interest on Loans</v>
      </c>
      <c r="C14" s="1162"/>
      <c r="D14" s="1162"/>
      <c r="E14" s="1162"/>
      <c r="F14" s="1162"/>
      <c r="G14" s="1375"/>
      <c r="H14" s="413" t="s">
        <v>482</v>
      </c>
      <c r="I14" s="674"/>
      <c r="K14" s="1146"/>
      <c r="L14" s="1146"/>
      <c r="O14" s="322"/>
      <c r="P14" s="322"/>
      <c r="Q14" s="322"/>
      <c r="R14" s="322"/>
      <c r="S14" s="322"/>
      <c r="T14" s="322"/>
      <c r="U14" s="322"/>
    </row>
    <row r="15" spans="2:21" ht="16.5" customHeight="1" thickTop="1">
      <c r="B15" s="1956"/>
      <c r="C15" s="1956"/>
      <c r="D15" s="1956"/>
      <c r="E15" s="1956"/>
      <c r="F15" s="1956"/>
      <c r="G15" s="1956"/>
      <c r="H15" s="1956"/>
      <c r="I15" s="1957"/>
      <c r="K15" s="1146"/>
      <c r="L15" s="1146"/>
      <c r="O15" s="322"/>
      <c r="P15" s="322"/>
      <c r="Q15" s="322"/>
      <c r="R15" s="322"/>
      <c r="S15" s="322"/>
      <c r="T15" s="322"/>
      <c r="U15" s="322"/>
    </row>
    <row r="16" spans="2:21" ht="26.25" customHeight="1" thickBot="1">
      <c r="B16" s="1935" t="str">
        <f>UPPER('KEY INPUTS'!D$57)&amp;"  UTILITY"&amp;" ________________ LOAN"</f>
        <v xml:space="preserve">  UTILITY ________________ LOAN</v>
      </c>
      <c r="C16" s="1935"/>
      <c r="D16" s="1935"/>
      <c r="E16" s="1935"/>
      <c r="F16" s="1935"/>
      <c r="G16" s="1935"/>
      <c r="H16" s="1935"/>
      <c r="I16" s="1936"/>
      <c r="K16" s="1146"/>
      <c r="L16" s="1146"/>
      <c r="O16" s="322"/>
      <c r="P16" s="322"/>
      <c r="Q16" s="322"/>
      <c r="R16" s="322"/>
      <c r="S16" s="322"/>
      <c r="T16" s="322"/>
      <c r="U16" s="322"/>
    </row>
    <row r="17" spans="2:21" ht="21" customHeight="1" thickTop="1">
      <c r="B17" s="1211" t="str">
        <f>'KEY INPUTS'!D27</f>
        <v>Outstanding - January 1, 2019</v>
      </c>
      <c r="C17" s="1158"/>
      <c r="D17" s="1158"/>
      <c r="E17" s="1158"/>
      <c r="F17" s="1158"/>
      <c r="G17" s="1088" t="s">
        <v>787</v>
      </c>
      <c r="H17" s="1705"/>
      <c r="I17" s="1706"/>
      <c r="K17" s="1146"/>
      <c r="L17" s="1146"/>
      <c r="O17" s="322"/>
      <c r="P17" s="322"/>
      <c r="Q17" s="322"/>
      <c r="R17" s="322"/>
      <c r="S17" s="322"/>
      <c r="T17" s="322"/>
      <c r="U17" s="322"/>
    </row>
    <row r="18" spans="2:21" ht="21" customHeight="1">
      <c r="B18" s="690" t="s">
        <v>113</v>
      </c>
      <c r="C18" s="1139"/>
      <c r="D18" s="1139"/>
      <c r="E18" s="1139"/>
      <c r="F18" s="1139"/>
      <c r="G18" s="973" t="s">
        <v>787</v>
      </c>
      <c r="H18" s="1679"/>
      <c r="I18" s="1680"/>
      <c r="K18" s="1146"/>
      <c r="L18" s="1146"/>
      <c r="O18" s="322"/>
      <c r="P18" s="322"/>
      <c r="Q18" s="322"/>
      <c r="R18" s="322"/>
      <c r="S18" s="322"/>
      <c r="T18" s="322"/>
      <c r="U18" s="322"/>
    </row>
    <row r="19" spans="2:21" ht="21" customHeight="1">
      <c r="B19" s="690" t="s">
        <v>326</v>
      </c>
      <c r="C19" s="1139"/>
      <c r="D19" s="1139"/>
      <c r="E19" s="1139"/>
      <c r="F19" s="1139"/>
      <c r="G19" s="601"/>
      <c r="H19" s="1685" t="s">
        <v>787</v>
      </c>
      <c r="I19" s="1686"/>
      <c r="K19" s="1146"/>
      <c r="L19" s="1146"/>
      <c r="O19" s="322"/>
      <c r="P19" s="322"/>
      <c r="Q19" s="322"/>
      <c r="R19" s="322"/>
      <c r="S19" s="322"/>
      <c r="T19" s="322"/>
      <c r="U19" s="322"/>
    </row>
    <row r="20" spans="2:21" ht="21" customHeight="1">
      <c r="B20" s="690"/>
      <c r="C20" s="1139"/>
      <c r="D20" s="1139"/>
      <c r="E20" s="1139"/>
      <c r="F20" s="1139"/>
      <c r="G20" s="1105"/>
      <c r="H20" s="1707"/>
      <c r="I20" s="1708"/>
      <c r="K20" s="1146"/>
      <c r="L20" s="1146"/>
      <c r="O20" s="322"/>
      <c r="P20" s="322"/>
      <c r="Q20" s="322"/>
      <c r="R20" s="322"/>
      <c r="S20" s="322"/>
      <c r="T20" s="322"/>
      <c r="U20" s="322"/>
    </row>
    <row r="21" spans="2:21" ht="21" customHeight="1">
      <c r="B21" s="690"/>
      <c r="C21" s="1139"/>
      <c r="D21" s="1139"/>
      <c r="E21" s="1139"/>
      <c r="F21" s="1139"/>
      <c r="G21" s="1105"/>
      <c r="H21" s="1707"/>
      <c r="I21" s="1708"/>
      <c r="K21" s="1146"/>
      <c r="L21" s="1146"/>
      <c r="O21" s="322"/>
      <c r="P21" s="322"/>
      <c r="Q21" s="322"/>
      <c r="R21" s="322"/>
      <c r="S21" s="322"/>
      <c r="T21" s="322"/>
      <c r="U21" s="322"/>
    </row>
    <row r="22" spans="2:21" ht="21" customHeight="1" thickBot="1">
      <c r="B22" s="690" t="str">
        <f>'KEY INPUTS'!D28</f>
        <v>Outstanding - December 31, 2019</v>
      </c>
      <c r="C22" s="1139"/>
      <c r="D22" s="1139"/>
      <c r="E22" s="1139"/>
      <c r="F22" s="1139"/>
      <c r="G22" s="1089">
        <f>+H17+H18-G19-G20-G21+H20+H21</f>
        <v>0</v>
      </c>
      <c r="H22" s="1677" t="s">
        <v>787</v>
      </c>
      <c r="I22" s="1678"/>
      <c r="K22" s="1146"/>
      <c r="L22" s="1146"/>
      <c r="O22" s="322"/>
      <c r="P22" s="322"/>
      <c r="Q22" s="322"/>
      <c r="R22" s="322"/>
      <c r="S22" s="322"/>
      <c r="T22" s="322"/>
      <c r="U22" s="322"/>
    </row>
    <row r="23" spans="2:21" ht="21" customHeight="1" thickBot="1">
      <c r="B23" s="1114"/>
      <c r="C23" s="1146"/>
      <c r="D23" s="1146"/>
      <c r="E23" s="1146"/>
      <c r="F23" s="1146"/>
      <c r="G23" s="1083">
        <f>SUM(G17:G22)</f>
        <v>0</v>
      </c>
      <c r="H23" s="1683">
        <f>SUM(H17:I22)</f>
        <v>0</v>
      </c>
      <c r="I23" s="1684"/>
      <c r="K23" s="1146"/>
      <c r="L23" s="1146"/>
    </row>
    <row r="24" spans="2:21" ht="21" customHeight="1" thickTop="1">
      <c r="B24" s="1382" t="str">
        <f>TEXT('KEY INPUTS'!D34+1,"0")&amp;" Loan Maturities"</f>
        <v>2020 Loan Maturities</v>
      </c>
      <c r="C24" s="1391"/>
      <c r="D24" s="1391"/>
      <c r="E24" s="1391"/>
      <c r="F24" s="1391"/>
      <c r="G24" s="1391"/>
      <c r="H24" s="1391"/>
      <c r="I24" s="1392"/>
      <c r="J24" s="479" t="s">
        <v>482</v>
      </c>
      <c r="K24" s="1714"/>
      <c r="L24" s="1714"/>
    </row>
    <row r="25" spans="2:21" ht="21" customHeight="1" thickBot="1">
      <c r="B25" s="1383" t="str">
        <f>TEXT('KEY INPUTS'!D34+1,"0")&amp;" Interest on Loans"</f>
        <v>2020 Interest on Loans</v>
      </c>
      <c r="C25" s="1162"/>
      <c r="D25" s="1162"/>
      <c r="E25" s="1162"/>
      <c r="F25" s="1162"/>
      <c r="G25" s="1375"/>
      <c r="H25" s="413" t="s">
        <v>482</v>
      </c>
      <c r="I25" s="608"/>
      <c r="J25" s="505"/>
      <c r="K25" s="1162"/>
      <c r="L25" s="1162"/>
    </row>
    <row r="26" spans="2:21" ht="21" customHeight="1" thickTop="1">
      <c r="B26" s="1146"/>
      <c r="C26" s="1146"/>
      <c r="D26" s="1146"/>
      <c r="E26" s="1146"/>
      <c r="F26" s="1146"/>
      <c r="G26" s="1146"/>
      <c r="H26" s="1146"/>
      <c r="I26" s="1146"/>
      <c r="J26" s="1146"/>
      <c r="K26" s="1146"/>
      <c r="L26" s="1146"/>
    </row>
    <row r="27" spans="2:21" ht="19.5" customHeight="1" thickBot="1">
      <c r="B27" s="1935" t="str">
        <f>"INTEREST  ON  LOANS  - "&amp;UPPER('KEY INPUTS'!D57)&amp;"  UTILITY  BUDGET"</f>
        <v>INTEREST  ON  LOANS  -   UTILITY  BUDGET</v>
      </c>
      <c r="C27" s="1935"/>
      <c r="D27" s="1935"/>
      <c r="E27" s="1935"/>
      <c r="F27" s="1935"/>
      <c r="G27" s="1935"/>
      <c r="H27" s="1935"/>
      <c r="I27" s="1935"/>
      <c r="J27" s="1935"/>
      <c r="K27" s="1935"/>
      <c r="L27" s="1935"/>
    </row>
    <row r="28" spans="2:21" ht="21" customHeight="1" thickTop="1">
      <c r="B28" s="1394" t="str">
        <f>TEXT('KEY INPUTS'!D34+1,"0")&amp;" Interest on Loans (*Items)"</f>
        <v>2020 Interest on Loans (*Items)</v>
      </c>
      <c r="C28" s="1170"/>
      <c r="D28" s="1158"/>
      <c r="E28" s="1158"/>
      <c r="F28" s="1158"/>
      <c r="G28" s="1158"/>
      <c r="H28" s="415" t="s">
        <v>482</v>
      </c>
      <c r="I28" s="1393">
        <f>+I25+I14</f>
        <v>0</v>
      </c>
      <c r="K28" s="1146"/>
      <c r="L28" s="1146"/>
    </row>
    <row r="29" spans="2:21" ht="21" customHeight="1">
      <c r="B29" s="914" t="str">
        <f>"Less: Interest Accrued to "&amp;TEXT('KEY INPUTS'!D29,"mm/dd/yyy")&amp;" (Trial Balance)"</f>
        <v>Less: Interest Accrued to 12/31/2019 (Trial Balance)</v>
      </c>
      <c r="C29" s="690"/>
      <c r="D29" s="1139"/>
      <c r="E29" s="1139"/>
      <c r="F29" s="1139"/>
      <c r="G29" s="1139"/>
      <c r="H29" s="334" t="s">
        <v>482</v>
      </c>
      <c r="I29" s="600"/>
      <c r="K29" s="1146"/>
      <c r="L29" s="1146"/>
    </row>
    <row r="30" spans="2:21" ht="21" customHeight="1">
      <c r="B30" s="690"/>
      <c r="C30" s="690" t="s">
        <v>421</v>
      </c>
      <c r="D30" s="1139"/>
      <c r="E30" s="1139"/>
      <c r="F30" s="1139"/>
      <c r="G30" s="1139"/>
      <c r="H30" s="334" t="s">
        <v>482</v>
      </c>
      <c r="I30" s="1395">
        <f>+I28-I29</f>
        <v>0</v>
      </c>
      <c r="K30" s="1146"/>
      <c r="L30" s="1146"/>
    </row>
    <row r="31" spans="2:21" ht="21" customHeight="1">
      <c r="B31" s="914" t="str">
        <f>"Add: Interest to be Accrued as of "&amp;TEXT('KEY INPUTS'!D30,"mm/dd/yyyy")&amp;""</f>
        <v>Add: Interest to be Accrued as of 12/31/2020</v>
      </c>
      <c r="C31" s="690"/>
      <c r="D31" s="1139"/>
      <c r="E31" s="1139"/>
      <c r="F31" s="1139"/>
      <c r="G31" s="1139"/>
      <c r="H31" s="334" t="s">
        <v>482</v>
      </c>
      <c r="I31" s="600"/>
      <c r="K31" s="1146"/>
      <c r="L31" s="1146"/>
    </row>
    <row r="32" spans="2:21" ht="21" customHeight="1">
      <c r="B32" s="914" t="str">
        <f>"Required Appropriation "&amp;TEXT('KEY INPUTS'!D34+1,"0")</f>
        <v>Required Appropriation 2020</v>
      </c>
      <c r="C32" s="690"/>
      <c r="D32" s="1139"/>
      <c r="E32" s="1139"/>
      <c r="F32" s="1139"/>
      <c r="G32" s="1139"/>
      <c r="H32" s="1139"/>
      <c r="I32" s="1165"/>
      <c r="J32" s="506" t="s">
        <v>482</v>
      </c>
      <c r="K32" s="1939">
        <f>+I30+I31</f>
        <v>0</v>
      </c>
      <c r="L32" s="1940"/>
    </row>
    <row r="33" spans="2:12" ht="13.5" customHeight="1">
      <c r="B33" s="1262"/>
      <c r="C33" s="1262"/>
      <c r="D33" s="1262"/>
      <c r="E33" s="1262"/>
      <c r="F33" s="1262"/>
      <c r="G33" s="1262"/>
      <c r="H33" s="1262"/>
      <c r="I33" s="1262"/>
      <c r="J33" s="1262"/>
      <c r="K33" s="1429"/>
      <c r="L33" s="1270"/>
    </row>
    <row r="34" spans="2:12" ht="13.5" customHeight="1">
      <c r="B34" s="1262"/>
      <c r="C34" s="1262"/>
      <c r="D34" s="1262"/>
      <c r="E34" s="1262"/>
      <c r="F34" s="1262"/>
      <c r="G34" s="1262"/>
      <c r="H34" s="1262"/>
      <c r="I34" s="1262"/>
      <c r="J34" s="1262"/>
      <c r="K34" s="1429"/>
      <c r="L34" s="1270"/>
    </row>
    <row r="35" spans="2:12" ht="21" customHeight="1" thickBot="1">
      <c r="B35" s="1938" t="str">
        <f>"LIST  OF  LOANS  ISSUED  DURING  "&amp;TEXT('KEY INPUTS'!D34,"0")&amp;""</f>
        <v>LIST  OF  LOANS  ISSUED  DURING  2019</v>
      </c>
      <c r="C35" s="1938"/>
      <c r="D35" s="1938"/>
      <c r="E35" s="1938"/>
      <c r="F35" s="1938"/>
      <c r="G35" s="1938"/>
      <c r="H35" s="1938"/>
      <c r="I35" s="1938"/>
      <c r="J35" s="1938"/>
      <c r="K35" s="1938"/>
      <c r="L35" s="1938"/>
    </row>
    <row r="36" spans="2:12" ht="27" customHeight="1" thickTop="1" thickBot="1">
      <c r="B36" s="1785" t="s">
        <v>532</v>
      </c>
      <c r="C36" s="1785"/>
      <c r="D36" s="1785"/>
      <c r="E36" s="1785"/>
      <c r="F36" s="1785"/>
      <c r="G36" s="1397" t="str">
        <f>TEXT('KEY INPUTS'!D34,"0")&amp;" Maturity"</f>
        <v>2019 Maturity</v>
      </c>
      <c r="H36" s="1937" t="s">
        <v>109</v>
      </c>
      <c r="I36" s="1786"/>
      <c r="J36" s="1941" t="s">
        <v>107</v>
      </c>
      <c r="K36" s="1942"/>
      <c r="L36" s="1398" t="s">
        <v>108</v>
      </c>
    </row>
    <row r="37" spans="2:12" ht="21" customHeight="1" thickTop="1">
      <c r="B37" s="673"/>
      <c r="C37" s="673"/>
      <c r="D37" s="673"/>
      <c r="E37" s="673"/>
      <c r="F37" s="673"/>
      <c r="G37" s="605"/>
      <c r="H37" s="1705"/>
      <c r="I37" s="1706"/>
      <c r="J37" s="1848"/>
      <c r="K37" s="1829"/>
      <c r="L37" s="915"/>
    </row>
    <row r="38" spans="2:12" ht="21" customHeight="1">
      <c r="B38" s="648"/>
      <c r="C38" s="648"/>
      <c r="D38" s="648"/>
      <c r="E38" s="648"/>
      <c r="F38" s="648"/>
      <c r="G38" s="601"/>
      <c r="H38" s="1679"/>
      <c r="I38" s="1680"/>
      <c r="J38" s="1826"/>
      <c r="K38" s="1827"/>
      <c r="L38" s="916"/>
    </row>
    <row r="39" spans="2:12" ht="21" customHeight="1">
      <c r="B39" s="648"/>
      <c r="C39" s="648"/>
      <c r="D39" s="648"/>
      <c r="E39" s="648"/>
      <c r="F39" s="648"/>
      <c r="G39" s="601"/>
      <c r="H39" s="1679"/>
      <c r="I39" s="1680"/>
      <c r="J39" s="1826"/>
      <c r="K39" s="1827"/>
      <c r="L39" s="916"/>
    </row>
    <row r="40" spans="2:12" ht="21" customHeight="1">
      <c r="B40" s="648"/>
      <c r="C40" s="648"/>
      <c r="D40" s="648"/>
      <c r="E40" s="648"/>
      <c r="F40" s="648"/>
      <c r="G40" s="601"/>
      <c r="H40" s="1679"/>
      <c r="I40" s="1680"/>
      <c r="J40" s="1826"/>
      <c r="K40" s="1827"/>
      <c r="L40" s="916"/>
    </row>
    <row r="41" spans="2:12" ht="21" customHeight="1" thickBot="1">
      <c r="B41" s="1162"/>
      <c r="C41" s="1162"/>
      <c r="D41" s="1162"/>
      <c r="E41" s="1162"/>
      <c r="F41" s="1163"/>
      <c r="G41" s="1083">
        <f>SUM(G37:G40)</f>
        <v>0</v>
      </c>
      <c r="H41" s="1703">
        <f>SUM(H37:I40)</f>
        <v>0</v>
      </c>
      <c r="I41" s="1704"/>
      <c r="J41" s="1396"/>
      <c r="K41" s="1162"/>
      <c r="L41" s="1156"/>
    </row>
    <row r="42" spans="2:12" ht="13.8" thickTop="1">
      <c r="G42" s="504"/>
      <c r="H42" s="504"/>
      <c r="I42" s="504"/>
    </row>
    <row r="51" spans="2:12" ht="13.8">
      <c r="B51" s="1812" t="s">
        <v>3650</v>
      </c>
      <c r="C51" s="1812"/>
      <c r="D51" s="1812"/>
      <c r="E51" s="1812"/>
      <c r="F51" s="1812"/>
      <c r="G51" s="1812"/>
      <c r="H51" s="1812"/>
      <c r="I51" s="1812"/>
      <c r="J51" s="1812"/>
      <c r="K51" s="1812"/>
      <c r="L51" s="1812"/>
    </row>
  </sheetData>
  <sheetProtection algorithmName="SHA-512" hashValue="D537lt+DjvTgPuapC/oK2PWIbK0Xg7TSyu4p1QIZOcqrg4B5h9nBCHNhzYpCl7o5Tku6pbZuqS4rXmqymksh/A==" saltValue="7HTV2zwCW7TqH1YW/4oJ+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37">
    <mergeCell ref="B51:L51"/>
    <mergeCell ref="B36:F36"/>
    <mergeCell ref="H36:I36"/>
    <mergeCell ref="J36:K36"/>
    <mergeCell ref="H37:I37"/>
    <mergeCell ref="J37:K37"/>
    <mergeCell ref="H38:I38"/>
    <mergeCell ref="J38:K38"/>
    <mergeCell ref="H39:I39"/>
    <mergeCell ref="J39:K39"/>
    <mergeCell ref="H40:I40"/>
    <mergeCell ref="J40:K40"/>
    <mergeCell ref="H41:I41"/>
    <mergeCell ref="B35:L35"/>
    <mergeCell ref="B16:I16"/>
    <mergeCell ref="H17:I17"/>
    <mergeCell ref="H18:I18"/>
    <mergeCell ref="H19:I19"/>
    <mergeCell ref="H20:I20"/>
    <mergeCell ref="H21:I21"/>
    <mergeCell ref="H22:I22"/>
    <mergeCell ref="H23:I23"/>
    <mergeCell ref="K24:L24"/>
    <mergeCell ref="B27:L27"/>
    <mergeCell ref="K32:L32"/>
    <mergeCell ref="B15:I15"/>
    <mergeCell ref="B2:L2"/>
    <mergeCell ref="B3:L3"/>
    <mergeCell ref="B4:L4"/>
    <mergeCell ref="H6:I6"/>
    <mergeCell ref="J6:L6"/>
    <mergeCell ref="H7:I7"/>
    <mergeCell ref="H8:I8"/>
    <mergeCell ref="H10:I10"/>
    <mergeCell ref="H11:I11"/>
    <mergeCell ref="H12:I12"/>
    <mergeCell ref="K13:L13"/>
  </mergeCells>
  <pageMargins left="0.25" right="0.25" top="0.5" bottom="0.5" header="0.25" footer="0.25"/>
  <pageSetup paperSize="5" orientation="portrait" r:id="rId5"/>
  <headerFooter alignWithMargins="0"/>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Sheet283">
    <tabColor theme="3" tint="0.79998168889431442"/>
  </sheetPr>
  <dimension ref="A1:V30"/>
  <sheetViews>
    <sheetView zoomScaleNormal="100" zoomScaleSheetLayoutView="80" workbookViewId="0">
      <selection activeCell="M26" sqref="M26"/>
    </sheetView>
  </sheetViews>
  <sheetFormatPr defaultColWidth="8.88671875" defaultRowHeight="13.2"/>
  <cols>
    <col min="1" max="1" width="5.6640625" style="398" customWidth="1"/>
    <col min="2" max="3" width="4.88671875" style="398" customWidth="1"/>
    <col min="4" max="4" width="30.44140625" style="398" customWidth="1"/>
    <col min="5" max="11" width="15.6640625" style="398" customWidth="1"/>
    <col min="12" max="12" width="1.6640625" style="398" customWidth="1"/>
    <col min="13" max="13" width="12.6640625" style="398" customWidth="1"/>
    <col min="14" max="16384" width="8.88671875" style="398"/>
  </cols>
  <sheetData>
    <row r="1" spans="1:22">
      <c r="B1" s="1114"/>
      <c r="C1" s="1114"/>
      <c r="D1" s="1114"/>
      <c r="E1" s="1114"/>
      <c r="F1" s="1114"/>
      <c r="G1" s="1114"/>
      <c r="H1" s="1114"/>
      <c r="I1" s="1114"/>
      <c r="J1" s="1114"/>
      <c r="K1" s="1114"/>
      <c r="L1" s="1114"/>
      <c r="M1" s="1114"/>
    </row>
    <row r="2" spans="1:22" ht="20.399999999999999">
      <c r="B2" s="1788" t="str">
        <f>"DEBT  SERVICE  FOR  "&amp;UPPER('KEY INPUTS'!D57)&amp;"  UTILITY  NOTES  (OTHER  THAN  UTILITY  ASSESSMENT  NOTES)"</f>
        <v>DEBT  SERVICE  FOR    UTILITY  NOTES  (OTHER  THAN  UTILITY  ASSESSMENT  NOTES)</v>
      </c>
      <c r="C2" s="1788"/>
      <c r="D2" s="1788"/>
      <c r="E2" s="1788"/>
      <c r="F2" s="1788"/>
      <c r="G2" s="1788"/>
      <c r="H2" s="1788"/>
      <c r="I2" s="1788"/>
      <c r="J2" s="1788"/>
      <c r="K2" s="1788"/>
      <c r="L2" s="1788"/>
      <c r="M2" s="1788"/>
    </row>
    <row r="3" spans="1:22" ht="21" thickBot="1">
      <c r="B3" s="1788"/>
      <c r="C3" s="1788"/>
      <c r="D3" s="1788"/>
      <c r="E3" s="1788"/>
      <c r="F3" s="1788"/>
      <c r="G3" s="1788"/>
      <c r="H3" s="1788"/>
      <c r="I3" s="1788"/>
      <c r="J3" s="1788"/>
      <c r="K3" s="1788"/>
      <c r="L3" s="1788"/>
      <c r="M3" s="1788"/>
    </row>
    <row r="4" spans="1:22" ht="13.5" customHeight="1" thickTop="1">
      <c r="B4" s="1237"/>
      <c r="C4" s="1237"/>
      <c r="D4" s="1237"/>
      <c r="E4" s="1238"/>
      <c r="F4" s="1238"/>
      <c r="G4" s="1238"/>
      <c r="H4" s="1238"/>
      <c r="I4" s="1238"/>
      <c r="J4" s="1237"/>
      <c r="K4" s="1239"/>
      <c r="L4" s="1237"/>
      <c r="M4" s="1240"/>
    </row>
    <row r="5" spans="1:22" ht="13.5" customHeight="1">
      <c r="B5" s="1114"/>
      <c r="C5" s="1114"/>
      <c r="D5" s="1114"/>
      <c r="E5" s="1241" t="s">
        <v>176</v>
      </c>
      <c r="F5" s="1242" t="s">
        <v>176</v>
      </c>
      <c r="G5" s="1242" t="s">
        <v>533</v>
      </c>
      <c r="H5" s="1242" t="s">
        <v>18</v>
      </c>
      <c r="I5" s="1242" t="s">
        <v>684</v>
      </c>
      <c r="J5" s="1866">
        <f>'KEY INPUTS'!D33</f>
        <v>2020</v>
      </c>
      <c r="K5" s="1867"/>
      <c r="L5" s="1269"/>
      <c r="M5" s="1244" t="s">
        <v>685</v>
      </c>
    </row>
    <row r="6" spans="1:22" ht="13.5" customHeight="1">
      <c r="B6" s="1114"/>
      <c r="C6" s="1864" t="s">
        <v>175</v>
      </c>
      <c r="D6" s="1865"/>
      <c r="E6" s="1241" t="s">
        <v>533</v>
      </c>
      <c r="F6" s="1242" t="s">
        <v>177</v>
      </c>
      <c r="G6" s="1242" t="s">
        <v>681</v>
      </c>
      <c r="H6" s="1242" t="s">
        <v>682</v>
      </c>
      <c r="I6" s="1242" t="s">
        <v>682</v>
      </c>
      <c r="J6" s="1868"/>
      <c r="K6" s="1869"/>
      <c r="L6" s="1245"/>
      <c r="M6" s="1244" t="s">
        <v>688</v>
      </c>
    </row>
    <row r="7" spans="1:22" ht="13.5" customHeight="1">
      <c r="B7" s="1114"/>
      <c r="C7" s="1114"/>
      <c r="D7" s="1114"/>
      <c r="E7" s="1241" t="s">
        <v>113</v>
      </c>
      <c r="F7" s="1241" t="s">
        <v>178</v>
      </c>
      <c r="G7" s="1241" t="s">
        <v>257</v>
      </c>
      <c r="H7" s="1241" t="s">
        <v>683</v>
      </c>
      <c r="I7" s="1241" t="s">
        <v>685</v>
      </c>
      <c r="J7" s="1241" t="s">
        <v>142</v>
      </c>
      <c r="K7" s="1241" t="s">
        <v>686</v>
      </c>
      <c r="L7" s="1242"/>
      <c r="M7" s="1244" t="s">
        <v>689</v>
      </c>
    </row>
    <row r="8" spans="1:22" ht="13.5" customHeight="1" thickBot="1">
      <c r="B8" s="1169"/>
      <c r="C8" s="1169"/>
      <c r="D8" s="1169"/>
      <c r="E8" s="1246"/>
      <c r="F8" s="1246"/>
      <c r="G8" s="1247" t="str">
        <f>'KEY INPUTS'!D46</f>
        <v>Dec. 31, 2019</v>
      </c>
      <c r="H8" s="1246"/>
      <c r="I8" s="1246"/>
      <c r="J8" s="1248"/>
      <c r="K8" s="1249"/>
      <c r="L8" s="1250"/>
      <c r="M8" s="1251"/>
      <c r="P8" s="322"/>
      <c r="Q8" s="322"/>
      <c r="R8" s="322"/>
      <c r="S8" s="322"/>
      <c r="T8" s="322"/>
      <c r="U8" s="322"/>
      <c r="V8" s="322"/>
    </row>
    <row r="9" spans="1:22" ht="21" customHeight="1" thickTop="1">
      <c r="B9" s="537" t="s">
        <v>384</v>
      </c>
      <c r="C9" s="675"/>
      <c r="D9" s="676"/>
      <c r="E9" s="618"/>
      <c r="F9" s="1468"/>
      <c r="G9" s="618"/>
      <c r="H9" s="678"/>
      <c r="I9" s="620"/>
      <c r="J9" s="618"/>
      <c r="K9" s="618"/>
      <c r="L9" s="629"/>
      <c r="M9" s="679"/>
      <c r="P9" s="322"/>
      <c r="Q9" s="322"/>
      <c r="R9" s="322"/>
      <c r="S9" s="322"/>
      <c r="T9" s="322"/>
      <c r="U9" s="322"/>
      <c r="V9" s="322"/>
    </row>
    <row r="10" spans="1:22" ht="21" customHeight="1">
      <c r="B10" s="536" t="s">
        <v>385</v>
      </c>
      <c r="C10" s="680"/>
      <c r="D10" s="652"/>
      <c r="E10" s="601"/>
      <c r="F10" s="1469"/>
      <c r="G10" s="601"/>
      <c r="H10" s="601"/>
      <c r="I10" s="682"/>
      <c r="J10" s="683"/>
      <c r="K10" s="601"/>
      <c r="L10" s="631"/>
      <c r="M10" s="684"/>
      <c r="N10" s="398" t="s">
        <v>3406</v>
      </c>
      <c r="O10" s="398" t="s">
        <v>3406</v>
      </c>
      <c r="P10" s="377"/>
      <c r="Q10" s="322"/>
      <c r="R10" s="322"/>
      <c r="S10" s="322"/>
      <c r="T10" s="322"/>
      <c r="U10" s="322"/>
      <c r="V10" s="322"/>
    </row>
    <row r="11" spans="1:22" ht="21" customHeight="1">
      <c r="B11" s="536" t="s">
        <v>386</v>
      </c>
      <c r="C11" s="648"/>
      <c r="D11" s="652"/>
      <c r="E11" s="601"/>
      <c r="F11" s="1470"/>
      <c r="G11" s="601"/>
      <c r="H11" s="601"/>
      <c r="I11" s="623"/>
      <c r="J11" s="601"/>
      <c r="K11" s="601"/>
      <c r="L11" s="631"/>
      <c r="M11" s="684"/>
      <c r="P11" s="322"/>
      <c r="Q11" s="322"/>
      <c r="R11" s="322"/>
      <c r="S11" s="322"/>
      <c r="T11" s="322"/>
      <c r="U11" s="322"/>
      <c r="V11" s="322"/>
    </row>
    <row r="12" spans="1:22" ht="21" customHeight="1">
      <c r="B12" s="536" t="s">
        <v>387</v>
      </c>
      <c r="C12" s="648"/>
      <c r="D12" s="652"/>
      <c r="E12" s="601"/>
      <c r="F12" s="1470"/>
      <c r="G12" s="601"/>
      <c r="H12" s="601"/>
      <c r="I12" s="623"/>
      <c r="J12" s="601"/>
      <c r="K12" s="601"/>
      <c r="L12" s="631"/>
      <c r="M12" s="684"/>
      <c r="P12" s="322"/>
      <c r="Q12" s="322"/>
      <c r="R12" s="322"/>
      <c r="S12" s="322"/>
      <c r="T12" s="322"/>
      <c r="U12" s="322"/>
      <c r="V12" s="322"/>
    </row>
    <row r="13" spans="1:22" ht="21" customHeight="1">
      <c r="B13" s="536" t="s">
        <v>388</v>
      </c>
      <c r="C13" s="648"/>
      <c r="D13" s="652"/>
      <c r="E13" s="601"/>
      <c r="F13" s="1470"/>
      <c r="G13" s="601"/>
      <c r="H13" s="601"/>
      <c r="I13" s="623"/>
      <c r="J13" s="601"/>
      <c r="K13" s="601"/>
      <c r="L13" s="631"/>
      <c r="M13" s="684"/>
      <c r="P13" s="322"/>
      <c r="Q13" s="322"/>
      <c r="R13" s="322"/>
      <c r="S13" s="322"/>
      <c r="T13" s="322"/>
      <c r="U13" s="322"/>
      <c r="V13" s="322"/>
    </row>
    <row r="14" spans="1:22" ht="21" customHeight="1">
      <c r="B14" s="536" t="s">
        <v>389</v>
      </c>
      <c r="C14" s="648"/>
      <c r="D14" s="652"/>
      <c r="E14" s="604"/>
      <c r="F14" s="1471"/>
      <c r="G14" s="604"/>
      <c r="H14" s="604"/>
      <c r="I14" s="626"/>
      <c r="J14" s="601"/>
      <c r="K14" s="601"/>
      <c r="L14" s="631"/>
      <c r="M14" s="684"/>
      <c r="P14" s="322"/>
      <c r="Q14" s="322"/>
      <c r="R14" s="322"/>
      <c r="S14" s="322"/>
      <c r="T14" s="322"/>
      <c r="U14" s="322"/>
      <c r="V14" s="322"/>
    </row>
    <row r="15" spans="1:22" ht="21" customHeight="1">
      <c r="A15" s="1863" t="s">
        <v>3446</v>
      </c>
      <c r="B15" s="536" t="s">
        <v>390</v>
      </c>
      <c r="C15" s="687"/>
      <c r="D15" s="688"/>
      <c r="E15" s="601"/>
      <c r="F15" s="1470"/>
      <c r="G15" s="601"/>
      <c r="H15" s="601"/>
      <c r="I15" s="623"/>
      <c r="J15" s="601"/>
      <c r="K15" s="601"/>
      <c r="L15" s="631"/>
      <c r="M15" s="684"/>
      <c r="P15" s="322"/>
      <c r="Q15" s="322"/>
      <c r="R15" s="322"/>
      <c r="S15" s="322"/>
      <c r="T15" s="322"/>
      <c r="U15" s="322"/>
      <c r="V15" s="322"/>
    </row>
    <row r="16" spans="1:22" ht="21" customHeight="1">
      <c r="A16" s="1863"/>
      <c r="B16" s="536" t="s">
        <v>501</v>
      </c>
      <c r="C16" s="648"/>
      <c r="D16" s="652"/>
      <c r="E16" s="601"/>
      <c r="F16" s="1470"/>
      <c r="G16" s="601"/>
      <c r="H16" s="601"/>
      <c r="I16" s="623"/>
      <c r="J16" s="601"/>
      <c r="K16" s="601"/>
      <c r="L16" s="631"/>
      <c r="M16" s="684"/>
      <c r="P16" s="322"/>
      <c r="Q16" s="322"/>
      <c r="R16" s="322"/>
      <c r="S16" s="322"/>
      <c r="T16" s="322"/>
      <c r="U16" s="322"/>
      <c r="V16" s="322"/>
    </row>
    <row r="17" spans="1:22" ht="21" customHeight="1">
      <c r="A17" s="1863"/>
      <c r="B17" s="536" t="s">
        <v>502</v>
      </c>
      <c r="C17" s="648"/>
      <c r="D17" s="652"/>
      <c r="E17" s="601"/>
      <c r="F17" s="1470"/>
      <c r="G17" s="601"/>
      <c r="H17" s="601"/>
      <c r="I17" s="623"/>
      <c r="J17" s="601"/>
      <c r="K17" s="601"/>
      <c r="L17" s="631"/>
      <c r="M17" s="684"/>
      <c r="P17" s="322"/>
      <c r="Q17" s="322"/>
      <c r="R17" s="322"/>
      <c r="S17" s="322"/>
      <c r="T17" s="322"/>
      <c r="U17" s="322"/>
      <c r="V17" s="322"/>
    </row>
    <row r="18" spans="1:22" ht="21" customHeight="1">
      <c r="A18" s="535"/>
      <c r="B18" s="696" t="s">
        <v>987</v>
      </c>
      <c r="C18" s="690"/>
      <c r="D18" s="691"/>
      <c r="E18" s="689">
        <f>SUM(E9:E17)</f>
        <v>0</v>
      </c>
      <c r="F18" s="692"/>
      <c r="G18" s="689">
        <f>SUM(G9:G17)</f>
        <v>0</v>
      </c>
      <c r="H18" s="689"/>
      <c r="I18" s="693"/>
      <c r="J18" s="689">
        <f>SUM(J9:J17)</f>
        <v>0</v>
      </c>
      <c r="K18" s="689">
        <f>SUM(K9:K17)</f>
        <v>0</v>
      </c>
      <c r="L18" s="694"/>
      <c r="M18" s="695"/>
      <c r="P18" s="322"/>
      <c r="Q18" s="322"/>
      <c r="R18" s="322"/>
      <c r="S18" s="322"/>
      <c r="T18" s="322"/>
      <c r="U18" s="322"/>
      <c r="V18" s="322"/>
    </row>
    <row r="19" spans="1:22" ht="21" customHeight="1">
      <c r="A19" s="535"/>
      <c r="B19" s="1352"/>
      <c r="C19" s="1192"/>
      <c r="D19" s="1192"/>
      <c r="E19" s="1353"/>
      <c r="F19" s="1192"/>
      <c r="G19" s="1353"/>
      <c r="H19" s="1353"/>
      <c r="I19" s="1354"/>
      <c r="J19" s="1353"/>
      <c r="K19" s="1353"/>
      <c r="L19" s="1353"/>
      <c r="M19" s="1192"/>
      <c r="P19" s="322"/>
      <c r="Q19" s="322"/>
      <c r="R19" s="322"/>
      <c r="S19" s="322"/>
      <c r="T19" s="322"/>
      <c r="U19" s="322"/>
      <c r="V19" s="322"/>
    </row>
    <row r="20" spans="1:22" ht="21" customHeight="1">
      <c r="A20" s="535"/>
      <c r="B20" s="1352"/>
      <c r="C20" s="1192"/>
      <c r="D20" s="1192"/>
      <c r="E20" s="1353"/>
      <c r="F20" s="1192"/>
      <c r="G20" s="1353"/>
      <c r="H20" s="1353"/>
      <c r="I20" s="1354"/>
      <c r="J20" s="1353"/>
      <c r="K20" s="1353"/>
      <c r="L20" s="1353"/>
      <c r="M20" s="1192"/>
      <c r="P20" s="322"/>
      <c r="Q20" s="322"/>
      <c r="R20" s="322"/>
      <c r="S20" s="322"/>
      <c r="T20" s="322"/>
      <c r="U20" s="322"/>
      <c r="V20" s="322"/>
    </row>
    <row r="21" spans="1:22" ht="13.5" customHeight="1" thickBot="1">
      <c r="B21" s="1355"/>
      <c r="C21" s="1356"/>
      <c r="D21" s="1357"/>
      <c r="E21" s="1192"/>
      <c r="F21" s="1192"/>
      <c r="G21" s="1192"/>
      <c r="H21" s="1192"/>
      <c r="I21" s="1192"/>
      <c r="J21" s="1358"/>
      <c r="K21" s="1192"/>
      <c r="L21" s="1192"/>
      <c r="M21" s="1192"/>
      <c r="P21" s="322"/>
      <c r="Q21" s="322"/>
      <c r="R21" s="322"/>
      <c r="S21" s="322"/>
      <c r="T21" s="322"/>
      <c r="U21" s="322"/>
      <c r="V21" s="322"/>
    </row>
    <row r="22" spans="1:22" ht="14.4" thickTop="1" thickBot="1">
      <c r="B22" s="1220" t="s">
        <v>44</v>
      </c>
      <c r="C22" s="1119"/>
      <c r="D22" s="1359"/>
      <c r="E22" s="1119"/>
      <c r="F22" s="1114"/>
      <c r="G22" s="1114"/>
      <c r="H22" s="1114"/>
      <c r="I22" s="1860" t="str">
        <f>"INTEREST  ON  NOTES  -  "&amp;UPPER('KEY INPUTS'!D57)&amp;" UTILITY  BUDGET"</f>
        <v>INTEREST  ON  NOTES  -   UTILITY  BUDGET</v>
      </c>
      <c r="J22" s="1861"/>
      <c r="K22" s="1861"/>
      <c r="L22" s="1861"/>
      <c r="M22" s="1862"/>
      <c r="P22" s="322"/>
      <c r="Q22" s="322"/>
      <c r="R22" s="322"/>
      <c r="S22" s="322"/>
      <c r="T22" s="322"/>
      <c r="U22" s="322"/>
      <c r="V22" s="322"/>
    </row>
    <row r="23" spans="1:22" ht="15.6" customHeight="1">
      <c r="B23" s="1360" t="s">
        <v>45</v>
      </c>
      <c r="C23" s="1360"/>
      <c r="D23" s="1220" t="s">
        <v>46</v>
      </c>
      <c r="E23" s="1119"/>
      <c r="F23" s="1114"/>
      <c r="G23" s="1114"/>
      <c r="H23" s="1114"/>
      <c r="I23" s="1361" t="str">
        <f>TEXT('KEY INPUTS'!D34+1,"0")&amp;"  Interest on Notes"</f>
        <v>2020  Interest on Notes</v>
      </c>
      <c r="J23" s="1191"/>
      <c r="K23" s="1191"/>
      <c r="L23" s="526" t="s">
        <v>482</v>
      </c>
      <c r="M23" s="1234">
        <f>K18</f>
        <v>0</v>
      </c>
      <c r="P23" s="322"/>
      <c r="Q23" s="322"/>
      <c r="R23" s="322"/>
      <c r="S23" s="322"/>
      <c r="T23" s="322"/>
      <c r="U23" s="322"/>
      <c r="V23" s="322"/>
    </row>
    <row r="24" spans="1:22" ht="15.6" customHeight="1">
      <c r="B24" s="1220"/>
      <c r="C24" s="1220"/>
      <c r="D24" s="1360" t="s">
        <v>47</v>
      </c>
      <c r="E24" s="1119"/>
      <c r="F24" s="1114"/>
      <c r="G24" s="1114"/>
      <c r="H24" s="1114"/>
      <c r="I24" s="1415" t="str">
        <f>"Less: Interest Accrued to "&amp;TEXT('KEY INPUTS'!D29,"mm/dd/yyyy")&amp;" (Trial Balance)"</f>
        <v>Less: Interest Accrued to 12/31/2019 (Trial Balance)</v>
      </c>
      <c r="J24" s="690"/>
      <c r="K24" s="690"/>
      <c r="L24" s="524" t="s">
        <v>482</v>
      </c>
      <c r="M24" s="672"/>
      <c r="P24" s="322"/>
      <c r="Q24" s="322"/>
      <c r="R24" s="322"/>
      <c r="S24" s="322"/>
      <c r="T24" s="322"/>
      <c r="U24" s="322"/>
      <c r="V24" s="322"/>
    </row>
    <row r="25" spans="1:22" ht="15.6" customHeight="1">
      <c r="B25" s="1220"/>
      <c r="C25" s="1220"/>
      <c r="D25" s="1220" t="s">
        <v>48</v>
      </c>
      <c r="E25" s="1119"/>
      <c r="F25" s="1114"/>
      <c r="G25" s="1114"/>
      <c r="H25" s="1114"/>
      <c r="I25" s="1121"/>
      <c r="J25" s="690" t="s">
        <v>421</v>
      </c>
      <c r="K25" s="690"/>
      <c r="L25" s="524" t="s">
        <v>482</v>
      </c>
      <c r="M25" s="1235">
        <f>+M23-M24</f>
        <v>0</v>
      </c>
    </row>
    <row r="26" spans="1:22" ht="15.6" customHeight="1">
      <c r="B26" s="1220"/>
      <c r="C26" s="1220"/>
      <c r="D26" s="1220" t="str">
        <f>"All notes with an original date of issue of 2016"&amp;" or prior require one legally payable installment to be budgeted if it"</f>
        <v>All notes with an original date of issue of 2016 or prior require one legally payable installment to be budgeted if it</v>
      </c>
      <c r="E26" s="1119"/>
      <c r="F26" s="1114"/>
      <c r="G26" s="1114"/>
      <c r="H26" s="1114"/>
      <c r="I26" s="1415" t="str">
        <f>"Add: Interest to be Accrued as of "&amp;TEXT('KEY INPUTS'!D29,"mm/dd/yyyy")&amp;""</f>
        <v>Add: Interest to be Accrued as of 12/31/2019</v>
      </c>
      <c r="J26" s="690"/>
      <c r="K26" s="690"/>
      <c r="L26" s="524" t="s">
        <v>482</v>
      </c>
      <c r="M26" s="672"/>
    </row>
    <row r="27" spans="1:22" ht="15.6" customHeight="1" thickBot="1">
      <c r="B27" s="1220"/>
      <c r="C27" s="1220"/>
      <c r="D27" s="1220" t="str">
        <f>"is contemplated that such notes will be renewed in "&amp;TEXT('KEY INPUTS'!D34+1,"0")&amp;" or written intent of permanent financing submitted."</f>
        <v>is contemplated that such notes will be renewed in 2020 or written intent of permanent financing submitted.</v>
      </c>
      <c r="E27" s="1119"/>
      <c r="F27" s="1114"/>
      <c r="G27" s="1114"/>
      <c r="H27" s="1114"/>
      <c r="I27" s="1416" t="str">
        <f>"Required Appropriation - "&amp;TEXT('KEY INPUTS'!D34+1,"0")&amp;""</f>
        <v>Required Appropriation - 2020</v>
      </c>
      <c r="J27" s="1169"/>
      <c r="K27" s="1169"/>
      <c r="L27" s="522" t="s">
        <v>482</v>
      </c>
      <c r="M27" s="1236">
        <f>+M25+M26</f>
        <v>0</v>
      </c>
    </row>
    <row r="28" spans="1:22" ht="13.8" thickTop="1">
      <c r="B28" s="1220"/>
      <c r="C28" s="1220"/>
      <c r="D28" s="1220" t="s">
        <v>49</v>
      </c>
      <c r="E28" s="1119"/>
      <c r="F28" s="1114"/>
      <c r="G28" s="1114"/>
      <c r="H28" s="1114"/>
      <c r="I28" s="1114"/>
      <c r="J28" s="1114"/>
      <c r="K28" s="1114"/>
      <c r="L28" s="1114"/>
      <c r="M28" s="1114"/>
    </row>
    <row r="29" spans="1:22">
      <c r="B29" s="1119"/>
      <c r="C29" s="1119"/>
      <c r="D29" s="1360" t="s">
        <v>50</v>
      </c>
      <c r="E29" s="1119"/>
      <c r="F29" s="1114"/>
      <c r="G29" s="1114"/>
      <c r="H29" s="1114"/>
      <c r="I29" s="1114"/>
      <c r="J29" s="1114"/>
      <c r="K29" s="1114"/>
      <c r="L29" s="1114"/>
      <c r="M29" s="1114"/>
    </row>
    <row r="30" spans="1:22">
      <c r="B30" s="1114"/>
      <c r="C30" s="1114"/>
      <c r="D30" s="1114"/>
      <c r="E30" s="1114"/>
      <c r="F30" s="1114"/>
      <c r="G30" s="1114"/>
      <c r="H30" s="1114"/>
      <c r="I30" s="1114"/>
      <c r="J30" s="1358" t="s">
        <v>127</v>
      </c>
      <c r="K30" s="1114"/>
      <c r="L30" s="1114"/>
      <c r="M30" s="1114"/>
    </row>
  </sheetData>
  <sheetProtection algorithmName="SHA-512" hashValue="Twn8oSqF49z7XkwuQ/m9YNNRy6AktrgTPTM1eJVDGRXaIei74cJ+Otm5j/haPL5upWex0K6tZ2r9oRmaRp7SKw==" saltValue="sMjYDJhu6XzZ+SOvt/qZGg==" spinCount="100000" sheet="1" objects="1" scenarios="1"/>
  <customSheetViews>
    <customSheetView guid="{AC653BD0-46E3-42CB-9C76-32121A57B65A}">
      <selection activeCell="M26" sqref="M26"/>
      <pageMargins left="0.25" right="0.25" top="0.5" bottom="0.5" header="0.25" footer="0.25"/>
      <pageSetup paperSize="5" orientation="landscape" r:id="rId1"/>
      <headerFooter alignWithMargins="0"/>
    </customSheetView>
    <customSheetView guid="{B165479B-DC25-403C-9595-F1A88A4AA9A2}">
      <selection activeCell="M26" sqref="M26"/>
      <pageMargins left="0.25" right="0.25" top="0.5" bottom="0.5" header="0.25" footer="0.25"/>
      <pageSetup paperSize="5" orientation="landscape" r:id="rId2"/>
      <headerFooter alignWithMargins="0"/>
    </customSheetView>
    <customSheetView guid="{A64E4C9E-A3DA-4AAA-8607-F524450B9436}">
      <selection activeCell="M26" sqref="M26"/>
      <pageMargins left="0.25" right="0.25" top="0.5" bottom="0.5" header="0.25" footer="0.25"/>
      <pageSetup paperSize="5" orientation="landscape" r:id="rId3"/>
      <headerFooter alignWithMargins="0"/>
    </customSheetView>
    <customSheetView guid="{AB4FBD91-4533-473A-9702-569FF6402073}">
      <selection activeCell="M26" sqref="M26"/>
      <pageMargins left="0.25" right="0.25" top="0.5" bottom="0.5" header="0.25" footer="0.25"/>
      <pageSetup paperSize="5" orientation="landscape" r:id="rId4"/>
      <headerFooter alignWithMargins="0"/>
    </customSheetView>
  </customSheetViews>
  <mergeCells count="6">
    <mergeCell ref="A15:A17"/>
    <mergeCell ref="I22:M22"/>
    <mergeCell ref="B2:M2"/>
    <mergeCell ref="B3:M3"/>
    <mergeCell ref="J5:K6"/>
    <mergeCell ref="C6:D6"/>
  </mergeCells>
  <pageMargins left="0.25" right="0.25" top="0.5" bottom="0.5" header="0.25" footer="0.25"/>
  <pageSetup paperSize="5" orientation="landscape" r:id="rId5"/>
  <headerFooter alignWithMargins="0"/>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Sheet284">
    <tabColor theme="3" tint="0.79998168889431442"/>
  </sheetPr>
  <dimension ref="A2:T29"/>
  <sheetViews>
    <sheetView zoomScaleNormal="100" zoomScaleSheetLayoutView="80" workbookViewId="0">
      <selection activeCell="G23" sqref="G23"/>
    </sheetView>
  </sheetViews>
  <sheetFormatPr defaultColWidth="9.109375" defaultRowHeight="13.2"/>
  <cols>
    <col min="1" max="1" width="5.6640625" style="331" customWidth="1"/>
    <col min="2" max="3" width="4.88671875" style="331" customWidth="1"/>
    <col min="4" max="4" width="31.5546875" style="331" customWidth="1"/>
    <col min="5" max="12" width="15.6640625" style="331" customWidth="1"/>
    <col min="13" max="16384" width="9.109375" style="331"/>
  </cols>
  <sheetData>
    <row r="2" spans="1:20" ht="20.399999999999999">
      <c r="B2" s="1849" t="str">
        <f>"DEBT  SERVICE  SCHEDULE  FOR  "&amp;UPPER('KEY INPUTS'!D57) &amp;"  UTILITY  ASSESSMENT  NOTES"</f>
        <v>DEBT  SERVICE  SCHEDULE  FOR    UTILITY  ASSESSMENT  NOTES</v>
      </c>
      <c r="C2" s="1849"/>
      <c r="D2" s="1849"/>
      <c r="E2" s="1849"/>
      <c r="F2" s="1849"/>
      <c r="G2" s="1849"/>
      <c r="H2" s="1849"/>
      <c r="I2" s="1849"/>
      <c r="J2" s="1849"/>
      <c r="K2" s="1849"/>
      <c r="L2" s="1849"/>
    </row>
    <row r="3" spans="1:20" ht="21" thickBot="1">
      <c r="B3" s="1816"/>
      <c r="C3" s="1816"/>
      <c r="D3" s="1816"/>
      <c r="E3" s="1816"/>
      <c r="F3" s="1816"/>
      <c r="G3" s="1816"/>
      <c r="H3" s="1816"/>
      <c r="I3" s="1816"/>
      <c r="J3" s="1816"/>
      <c r="K3" s="1816"/>
      <c r="L3" s="1816"/>
    </row>
    <row r="4" spans="1:20" ht="13.5" customHeight="1" thickTop="1">
      <c r="B4" s="1958"/>
      <c r="C4" s="1958"/>
      <c r="D4" s="1959"/>
      <c r="E4" s="824"/>
      <c r="F4" s="426"/>
      <c r="G4" s="426"/>
      <c r="H4" s="426"/>
      <c r="I4" s="426"/>
      <c r="J4" s="425"/>
      <c r="K4" s="425"/>
      <c r="L4" s="424"/>
    </row>
    <row r="5" spans="1:20" ht="13.5" customHeight="1">
      <c r="E5" s="422" t="s">
        <v>176</v>
      </c>
      <c r="F5" s="421" t="s">
        <v>176</v>
      </c>
      <c r="G5" s="421" t="s">
        <v>533</v>
      </c>
      <c r="H5" s="421" t="s">
        <v>18</v>
      </c>
      <c r="I5" s="421" t="s">
        <v>684</v>
      </c>
      <c r="J5" s="1960">
        <f>'KEY INPUTS'!D33</f>
        <v>2020</v>
      </c>
      <c r="K5" s="1961"/>
      <c r="L5" s="423" t="s">
        <v>685</v>
      </c>
    </row>
    <row r="6" spans="1:20" ht="13.5" customHeight="1">
      <c r="C6" s="1964" t="s">
        <v>175</v>
      </c>
      <c r="D6" s="1965"/>
      <c r="E6" s="422" t="s">
        <v>533</v>
      </c>
      <c r="F6" s="421" t="s">
        <v>177</v>
      </c>
      <c r="G6" s="421" t="s">
        <v>681</v>
      </c>
      <c r="H6" s="421" t="s">
        <v>682</v>
      </c>
      <c r="I6" s="421" t="s">
        <v>682</v>
      </c>
      <c r="J6" s="1962"/>
      <c r="K6" s="1963"/>
      <c r="L6" s="423" t="s">
        <v>688</v>
      </c>
    </row>
    <row r="7" spans="1:20" ht="13.5" customHeight="1">
      <c r="E7" s="422" t="s">
        <v>113</v>
      </c>
      <c r="F7" s="422" t="s">
        <v>178</v>
      </c>
      <c r="G7" s="422" t="s">
        <v>257</v>
      </c>
      <c r="H7" s="422" t="s">
        <v>683</v>
      </c>
      <c r="I7" s="422" t="s">
        <v>685</v>
      </c>
      <c r="J7" s="422" t="s">
        <v>142</v>
      </c>
      <c r="K7" s="422" t="s">
        <v>686</v>
      </c>
      <c r="L7" s="423" t="s">
        <v>689</v>
      </c>
      <c r="N7" s="322"/>
      <c r="O7" s="322"/>
      <c r="P7" s="322"/>
      <c r="Q7" s="322"/>
      <c r="R7" s="322"/>
      <c r="S7" s="322"/>
      <c r="T7" s="322"/>
    </row>
    <row r="8" spans="1:20" ht="13.5" customHeight="1" thickBot="1">
      <c r="B8" s="420"/>
      <c r="C8" s="420"/>
      <c r="D8" s="420"/>
      <c r="E8" s="418"/>
      <c r="F8" s="418"/>
      <c r="G8" s="796" t="str">
        <f>'KEY INPUTS'!D46</f>
        <v>Dec. 31, 2019</v>
      </c>
      <c r="H8" s="418"/>
      <c r="I8" s="418"/>
      <c r="J8" s="419"/>
      <c r="K8" s="546" t="s">
        <v>687</v>
      </c>
      <c r="L8" s="416"/>
      <c r="N8" s="322"/>
      <c r="O8" s="322"/>
      <c r="P8" s="322"/>
      <c r="Q8" s="322"/>
      <c r="R8" s="322"/>
      <c r="S8" s="322"/>
      <c r="T8" s="322"/>
    </row>
    <row r="9" spans="1:20" ht="21" customHeight="1" thickTop="1">
      <c r="B9" s="1874"/>
      <c r="C9" s="1874"/>
      <c r="D9" s="1875"/>
      <c r="E9" s="605"/>
      <c r="F9" s="797"/>
      <c r="G9" s="605"/>
      <c r="H9" s="605"/>
      <c r="I9" s="798"/>
      <c r="J9" s="605"/>
      <c r="K9" s="605"/>
      <c r="L9" s="799"/>
      <c r="N9" s="377"/>
      <c r="O9" s="322"/>
      <c r="P9" s="322"/>
      <c r="Q9" s="322"/>
      <c r="R9" s="322"/>
      <c r="S9" s="322"/>
      <c r="T9" s="322"/>
    </row>
    <row r="10" spans="1:20" ht="21" customHeight="1">
      <c r="B10" s="1876"/>
      <c r="C10" s="1876"/>
      <c r="D10" s="1877"/>
      <c r="E10" s="601"/>
      <c r="F10" s="685"/>
      <c r="G10" s="601"/>
      <c r="H10" s="601"/>
      <c r="I10" s="623"/>
      <c r="J10" s="601"/>
      <c r="K10" s="601"/>
      <c r="L10" s="699"/>
      <c r="N10" s="322"/>
      <c r="O10" s="322"/>
      <c r="P10" s="322"/>
      <c r="Q10" s="322"/>
      <c r="R10" s="322"/>
      <c r="S10" s="322"/>
      <c r="T10" s="322"/>
    </row>
    <row r="11" spans="1:20" ht="21" customHeight="1">
      <c r="B11" s="1876"/>
      <c r="C11" s="1876"/>
      <c r="D11" s="1877"/>
      <c r="E11" s="601"/>
      <c r="F11" s="685"/>
      <c r="G11" s="601"/>
      <c r="H11" s="601"/>
      <c r="I11" s="623"/>
      <c r="J11" s="601"/>
      <c r="K11" s="601"/>
      <c r="L11" s="699"/>
      <c r="N11" s="322"/>
      <c r="O11" s="322"/>
      <c r="P11" s="322"/>
      <c r="Q11" s="322"/>
      <c r="R11" s="322"/>
      <c r="S11" s="322"/>
      <c r="T11" s="322"/>
    </row>
    <row r="12" spans="1:20" ht="21" customHeight="1">
      <c r="B12" s="1876"/>
      <c r="C12" s="1876"/>
      <c r="D12" s="1877"/>
      <c r="E12" s="601"/>
      <c r="F12" s="685"/>
      <c r="G12" s="601"/>
      <c r="H12" s="601"/>
      <c r="I12" s="623"/>
      <c r="J12" s="601"/>
      <c r="K12" s="601"/>
      <c r="L12" s="699"/>
      <c r="N12" s="322"/>
      <c r="O12" s="322"/>
      <c r="P12" s="322"/>
      <c r="Q12" s="322"/>
      <c r="R12" s="322"/>
      <c r="S12" s="322"/>
      <c r="T12" s="322"/>
    </row>
    <row r="13" spans="1:20" ht="21" customHeight="1">
      <c r="B13" s="1876"/>
      <c r="C13" s="1876"/>
      <c r="D13" s="1877"/>
      <c r="E13" s="601"/>
      <c r="F13" s="685"/>
      <c r="G13" s="601"/>
      <c r="H13" s="601"/>
      <c r="I13" s="623"/>
      <c r="J13" s="601"/>
      <c r="K13" s="601"/>
      <c r="L13" s="699"/>
      <c r="N13" s="322"/>
      <c r="O13" s="322"/>
      <c r="P13" s="322"/>
      <c r="Q13" s="322"/>
      <c r="R13" s="322"/>
      <c r="S13" s="322"/>
      <c r="T13" s="322"/>
    </row>
    <row r="14" spans="1:20" ht="21" customHeight="1">
      <c r="B14" s="1876"/>
      <c r="C14" s="1876"/>
      <c r="D14" s="1877"/>
      <c r="E14" s="604"/>
      <c r="F14" s="686"/>
      <c r="G14" s="604"/>
      <c r="H14" s="604"/>
      <c r="I14" s="626"/>
      <c r="J14" s="601"/>
      <c r="K14" s="601"/>
      <c r="L14" s="699"/>
      <c r="N14" s="322"/>
      <c r="O14" s="322"/>
      <c r="P14" s="322"/>
      <c r="Q14" s="322"/>
      <c r="R14" s="322"/>
      <c r="S14" s="322"/>
      <c r="T14" s="322"/>
    </row>
    <row r="15" spans="1:20" ht="21" customHeight="1">
      <c r="A15" s="1792" t="s">
        <v>3447</v>
      </c>
      <c r="B15" s="1876"/>
      <c r="C15" s="1876"/>
      <c r="D15" s="1877"/>
      <c r="E15" s="601"/>
      <c r="F15" s="685"/>
      <c r="G15" s="601"/>
      <c r="H15" s="601"/>
      <c r="I15" s="623"/>
      <c r="J15" s="601"/>
      <c r="K15" s="601"/>
      <c r="L15" s="699"/>
      <c r="N15" s="322"/>
      <c r="O15" s="322"/>
      <c r="P15" s="322"/>
      <c r="Q15" s="322"/>
      <c r="R15" s="322"/>
      <c r="S15" s="322"/>
      <c r="T15" s="322"/>
    </row>
    <row r="16" spans="1:20" ht="21" customHeight="1">
      <c r="A16" s="1792"/>
      <c r="B16" s="1876"/>
      <c r="C16" s="1876"/>
      <c r="D16" s="1877"/>
      <c r="E16" s="601"/>
      <c r="F16" s="685"/>
      <c r="G16" s="601"/>
      <c r="H16" s="601"/>
      <c r="I16" s="623"/>
      <c r="J16" s="601"/>
      <c r="K16" s="601"/>
      <c r="L16" s="699"/>
      <c r="N16" s="322"/>
      <c r="O16" s="322"/>
      <c r="P16" s="322"/>
      <c r="Q16" s="322"/>
      <c r="R16" s="322"/>
      <c r="S16" s="322"/>
      <c r="T16" s="322"/>
    </row>
    <row r="17" spans="1:20" ht="21" customHeight="1">
      <c r="A17" s="1792"/>
      <c r="B17" s="1876"/>
      <c r="C17" s="1876"/>
      <c r="D17" s="1877"/>
      <c r="E17" s="601"/>
      <c r="F17" s="685"/>
      <c r="G17" s="601"/>
      <c r="H17" s="601"/>
      <c r="I17" s="623"/>
      <c r="J17" s="601"/>
      <c r="K17" s="601"/>
      <c r="L17" s="699"/>
      <c r="N17" s="322"/>
      <c r="O17" s="322"/>
      <c r="P17" s="322"/>
      <c r="Q17" s="322"/>
      <c r="R17" s="322"/>
      <c r="S17" s="322"/>
      <c r="T17" s="322"/>
    </row>
    <row r="18" spans="1:20" ht="21" customHeight="1">
      <c r="A18" s="545"/>
      <c r="B18" s="1876"/>
      <c r="C18" s="1876"/>
      <c r="D18" s="1877"/>
      <c r="E18" s="601"/>
      <c r="F18" s="685"/>
      <c r="G18" s="601"/>
      <c r="H18" s="601"/>
      <c r="I18" s="623"/>
      <c r="J18" s="601"/>
      <c r="K18" s="601"/>
      <c r="L18" s="699"/>
      <c r="N18" s="322"/>
      <c r="O18" s="322"/>
      <c r="P18" s="322"/>
      <c r="Q18" s="322"/>
      <c r="R18" s="322"/>
      <c r="S18" s="322"/>
      <c r="T18" s="322"/>
    </row>
    <row r="19" spans="1:20" ht="21" customHeight="1">
      <c r="B19" s="1876"/>
      <c r="C19" s="1876"/>
      <c r="D19" s="1877"/>
      <c r="E19" s="601"/>
      <c r="F19" s="685"/>
      <c r="G19" s="601"/>
      <c r="H19" s="601"/>
      <c r="I19" s="623"/>
      <c r="J19" s="601"/>
      <c r="K19" s="601"/>
      <c r="L19" s="699"/>
      <c r="N19" s="322"/>
      <c r="O19" s="322"/>
      <c r="P19" s="322"/>
      <c r="Q19" s="322"/>
      <c r="R19" s="322"/>
      <c r="S19" s="322"/>
      <c r="T19" s="322"/>
    </row>
    <row r="20" spans="1:20" ht="21" customHeight="1">
      <c r="B20" s="1876"/>
      <c r="C20" s="1876"/>
      <c r="D20" s="1877"/>
      <c r="E20" s="601"/>
      <c r="F20" s="685"/>
      <c r="G20" s="601"/>
      <c r="H20" s="601"/>
      <c r="I20" s="623"/>
      <c r="J20" s="601"/>
      <c r="K20" s="601"/>
      <c r="L20" s="699"/>
      <c r="N20" s="322"/>
      <c r="O20" s="322"/>
      <c r="P20" s="322"/>
      <c r="Q20" s="322"/>
      <c r="R20" s="322"/>
      <c r="S20" s="322"/>
      <c r="T20" s="322"/>
    </row>
    <row r="21" spans="1:20" ht="21" customHeight="1">
      <c r="B21" s="1876"/>
      <c r="C21" s="1876"/>
      <c r="D21" s="1877"/>
      <c r="E21" s="601"/>
      <c r="F21" s="685"/>
      <c r="G21" s="601"/>
      <c r="H21" s="601"/>
      <c r="I21" s="623"/>
      <c r="J21" s="601"/>
      <c r="K21" s="601"/>
      <c r="L21" s="699"/>
      <c r="N21" s="322"/>
      <c r="O21" s="322"/>
      <c r="P21" s="322"/>
      <c r="Q21" s="322"/>
      <c r="R21" s="322"/>
      <c r="S21" s="322"/>
      <c r="T21" s="322"/>
    </row>
    <row r="22" spans="1:20" ht="21" customHeight="1">
      <c r="B22" s="1876"/>
      <c r="C22" s="1876"/>
      <c r="D22" s="1877"/>
      <c r="E22" s="601"/>
      <c r="F22" s="685"/>
      <c r="G22" s="601"/>
      <c r="H22" s="601"/>
      <c r="I22" s="623"/>
      <c r="J22" s="601"/>
      <c r="K22" s="601"/>
      <c r="L22" s="699"/>
      <c r="N22" s="322"/>
      <c r="O22" s="322"/>
      <c r="P22" s="322"/>
      <c r="Q22" s="322"/>
      <c r="R22" s="322"/>
      <c r="S22" s="322"/>
      <c r="T22" s="322"/>
    </row>
    <row r="23" spans="1:20" ht="21" customHeight="1" thickBot="1">
      <c r="B23" s="1372"/>
      <c r="C23" s="1232"/>
      <c r="D23" s="1257"/>
      <c r="E23" s="1131">
        <f>SUM(E9:E22)</f>
        <v>0</v>
      </c>
      <c r="F23" s="1246"/>
      <c r="G23" s="1131">
        <f>SUM(G9:G22)</f>
        <v>0</v>
      </c>
      <c r="H23" s="1131"/>
      <c r="I23" s="1131"/>
      <c r="J23" s="1131">
        <f>SUM(J9:J22)</f>
        <v>0</v>
      </c>
      <c r="K23" s="1131">
        <f>SUM(K9:K22)</f>
        <v>0</v>
      </c>
      <c r="L23" s="1258"/>
      <c r="N23" s="322"/>
      <c r="O23" s="322"/>
      <c r="P23" s="322"/>
      <c r="Q23" s="322"/>
      <c r="R23" s="322"/>
      <c r="S23" s="322"/>
      <c r="T23" s="322"/>
    </row>
    <row r="24" spans="1:20" ht="13.5" customHeight="1" thickTop="1">
      <c r="B24" s="1435" t="s">
        <v>44</v>
      </c>
      <c r="C24" s="1359"/>
      <c r="D24" s="1436"/>
      <c r="E24" s="1114"/>
      <c r="F24" s="1114"/>
      <c r="G24" s="1114"/>
      <c r="H24" s="1114"/>
      <c r="I24" s="1114"/>
      <c r="J24" s="1306"/>
      <c r="K24" s="1306"/>
      <c r="L24" s="1114"/>
    </row>
    <row r="25" spans="1:20" ht="13.5" customHeight="1">
      <c r="B25" s="1435" t="s">
        <v>693</v>
      </c>
      <c r="C25" s="1359"/>
      <c r="D25" s="1436"/>
      <c r="E25" s="1114"/>
      <c r="F25" s="1114"/>
      <c r="G25" s="1114"/>
      <c r="H25" s="1114"/>
      <c r="I25" s="1114"/>
      <c r="J25" s="1114"/>
      <c r="K25" s="1114"/>
      <c r="L25" s="1114"/>
    </row>
    <row r="26" spans="1:20" ht="13.5" customHeight="1">
      <c r="B26" s="1435"/>
      <c r="C26" s="1359" t="str">
        <f>"Utility Assessment Notes with an original date of issue of December 31, 2016 "&amp;" or prior must be appropriated in full in the "&amp;TEXT('KEY INPUTS'!D34+1,"0")&amp;" Dedicated Utility Assessment Budget or written intent of"</f>
        <v>Utility Assessment Notes with an original date of issue of December 31, 2016  or prior must be appropriated in full in the 2020 Dedicated Utility Assessment Budget or written intent of</v>
      </c>
      <c r="D26" s="1436"/>
      <c r="E26" s="1114"/>
      <c r="F26" s="1114"/>
      <c r="G26" s="1114"/>
      <c r="H26" s="1114"/>
      <c r="I26" s="1114"/>
      <c r="J26" s="1114"/>
      <c r="K26" s="1114"/>
      <c r="L26" s="1114"/>
    </row>
    <row r="27" spans="1:20" ht="13.5" customHeight="1">
      <c r="B27" s="1435"/>
      <c r="C27" s="1359"/>
      <c r="D27" s="1437" t="s">
        <v>644</v>
      </c>
      <c r="E27" s="1114"/>
      <c r="F27" s="1114"/>
      <c r="G27" s="1114"/>
      <c r="H27" s="1114"/>
      <c r="I27" s="1114"/>
      <c r="J27" s="1114"/>
      <c r="K27" s="1114"/>
      <c r="L27" s="1114"/>
    </row>
    <row r="28" spans="1:20" ht="13.5" customHeight="1">
      <c r="B28" s="1435"/>
      <c r="C28" s="1359" t="s">
        <v>394</v>
      </c>
      <c r="D28" s="1436"/>
      <c r="E28" s="1114"/>
      <c r="F28" s="1114"/>
      <c r="G28" s="1114"/>
      <c r="H28" s="1114"/>
      <c r="I28" s="1114"/>
      <c r="J28" s="1119"/>
      <c r="K28" s="1114"/>
      <c r="L28" s="1114"/>
    </row>
    <row r="29" spans="1:20">
      <c r="B29" s="541"/>
      <c r="C29" s="411"/>
      <c r="D29" s="411"/>
    </row>
  </sheetData>
  <sheetProtection algorithmName="SHA-512" hashValue="/CyhAhM4NZQ99UbULc8mYsF3d+/musm1nNTA9/kdlxVHY+owb4ruG5Bc+lifUvTCfWX/l9EtzkhKjuHQlDxwxQ==" saltValue="wia2QFyaUjGVZNHGprohBg==" spinCount="100000" sheet="1" objects="1" scenarios="1"/>
  <customSheetViews>
    <customSheetView guid="{AC653BD0-46E3-42CB-9C76-32121A57B65A}">
      <selection activeCell="G23" sqref="G23"/>
      <pageMargins left="0.25" right="0.25" top="0.5" bottom="0.5" header="0.25" footer="0.25"/>
      <pageSetup paperSize="5" orientation="landscape" r:id="rId1"/>
      <headerFooter alignWithMargins="0"/>
    </customSheetView>
    <customSheetView guid="{B165479B-DC25-403C-9595-F1A88A4AA9A2}">
      <selection activeCell="G23" sqref="G23"/>
      <pageMargins left="0.25" right="0.25" top="0.5" bottom="0.5" header="0.25" footer="0.25"/>
      <pageSetup paperSize="5" orientation="landscape" r:id="rId2"/>
      <headerFooter alignWithMargins="0"/>
    </customSheetView>
    <customSheetView guid="{A64E4C9E-A3DA-4AAA-8607-F524450B9436}">
      <selection activeCell="G23" sqref="G23"/>
      <pageMargins left="0.25" right="0.25" top="0.5" bottom="0.5" header="0.25" footer="0.25"/>
      <pageSetup paperSize="5" orientation="landscape" r:id="rId3"/>
      <headerFooter alignWithMargins="0"/>
    </customSheetView>
    <customSheetView guid="{AB4FBD91-4533-473A-9702-569FF6402073}">
      <selection activeCell="G23" sqref="G23"/>
      <pageMargins left="0.25" right="0.25" top="0.5" bottom="0.5" header="0.25" footer="0.25"/>
      <pageSetup paperSize="5" orientation="landscape" r:id="rId4"/>
      <headerFooter alignWithMargins="0"/>
    </customSheetView>
  </customSheetViews>
  <mergeCells count="20">
    <mergeCell ref="B18:D18"/>
    <mergeCell ref="B19:D19"/>
    <mergeCell ref="B20:D20"/>
    <mergeCell ref="B21:D21"/>
    <mergeCell ref="B22:D22"/>
    <mergeCell ref="A15:A17"/>
    <mergeCell ref="B2:L2"/>
    <mergeCell ref="B3:L3"/>
    <mergeCell ref="B4:D4"/>
    <mergeCell ref="J5:K6"/>
    <mergeCell ref="C6:D6"/>
    <mergeCell ref="B9:D9"/>
    <mergeCell ref="B10:D10"/>
    <mergeCell ref="B11:D11"/>
    <mergeCell ref="B12:D12"/>
    <mergeCell ref="B13:D13"/>
    <mergeCell ref="B14:D14"/>
    <mergeCell ref="B15:D15"/>
    <mergeCell ref="B16:D16"/>
    <mergeCell ref="B17:D17"/>
  </mergeCells>
  <pageMargins left="0.25" right="0.25" top="0.5" bottom="0.5" header="0.25" footer="0.25"/>
  <pageSetup paperSize="5" orientation="landscape" r:id="rId5"/>
  <headerFooter alignWithMargins="0"/>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Sheet285">
    <tabColor theme="3" tint="0.79998168889431442"/>
  </sheetPr>
  <dimension ref="A2:R27"/>
  <sheetViews>
    <sheetView zoomScaleNormal="100" zoomScaleSheetLayoutView="80" workbookViewId="0">
      <selection activeCell="B1" sqref="B1"/>
    </sheetView>
  </sheetViews>
  <sheetFormatPr defaultColWidth="9.109375" defaultRowHeight="13.2"/>
  <cols>
    <col min="1" max="1" width="5.6640625" style="331" customWidth="1"/>
    <col min="2" max="3" width="4.88671875" style="331" customWidth="1"/>
    <col min="4" max="4" width="35.88671875" style="331" customWidth="1"/>
    <col min="5" max="6" width="15.6640625" style="331" customWidth="1"/>
    <col min="7" max="9" width="30.6640625" style="331" customWidth="1"/>
    <col min="10" max="16384" width="9.109375" style="331"/>
  </cols>
  <sheetData>
    <row r="2" spans="1:18" ht="20.399999999999999">
      <c r="B2" s="1788" t="str">
        <f>"SCHEDULE  OF  CAPITAL  LEASE  PROGRAM  OBLIGATIONS "&amp;UPPER('KEY INPUTS'!D57)&amp;"  UTILITY"</f>
        <v>SCHEDULE  OF  CAPITAL  LEASE  PROGRAM  OBLIGATIONS   UTILITY</v>
      </c>
      <c r="C2" s="1788"/>
      <c r="D2" s="1788"/>
      <c r="E2" s="1788"/>
      <c r="F2" s="1788"/>
      <c r="G2" s="1788"/>
      <c r="H2" s="1788"/>
      <c r="I2" s="1788"/>
    </row>
    <row r="3" spans="1:18" ht="21" thickBot="1">
      <c r="B3" s="1870"/>
      <c r="C3" s="1870"/>
      <c r="D3" s="1870"/>
      <c r="E3" s="1870"/>
      <c r="F3" s="1870"/>
      <c r="G3" s="1870"/>
      <c r="H3" s="1870"/>
      <c r="I3" s="1870"/>
    </row>
    <row r="4" spans="1:18" ht="13.5" customHeight="1" thickTop="1">
      <c r="B4" s="1943"/>
      <c r="C4" s="1943"/>
      <c r="D4" s="1943"/>
      <c r="E4" s="1943"/>
      <c r="F4" s="1944"/>
      <c r="G4" s="1363"/>
      <c r="H4" s="1142"/>
      <c r="I4" s="1267"/>
    </row>
    <row r="5" spans="1:18" ht="13.5" customHeight="1">
      <c r="B5" s="1146"/>
      <c r="C5" s="1146"/>
      <c r="D5" s="1146"/>
      <c r="E5" s="1141"/>
      <c r="F5" s="1141"/>
      <c r="G5" s="1151" t="s">
        <v>533</v>
      </c>
      <c r="H5" s="1945" t="str">
        <f>'KEY INPUTS'!D34+1&amp;" Budget Requirements"</f>
        <v>2020 Budget Requirements</v>
      </c>
      <c r="I5" s="1946"/>
      <c r="J5" s="774"/>
    </row>
    <row r="6" spans="1:18" ht="13.5" customHeight="1">
      <c r="B6" s="1146"/>
      <c r="C6" s="1787" t="s">
        <v>532</v>
      </c>
      <c r="D6" s="1787"/>
      <c r="E6" s="1141"/>
      <c r="F6" s="1141"/>
      <c r="G6" s="1151" t="s">
        <v>549</v>
      </c>
      <c r="H6" s="1947"/>
      <c r="I6" s="1948"/>
      <c r="J6" s="774"/>
    </row>
    <row r="7" spans="1:18" ht="13.5" customHeight="1">
      <c r="B7" s="1146"/>
      <c r="C7" s="1146"/>
      <c r="D7" s="1146"/>
      <c r="E7" s="1141"/>
      <c r="F7" s="1271"/>
      <c r="G7" s="1272" t="str">
        <f>'KEY INPUTS'!D46</f>
        <v>Dec. 31, 2019</v>
      </c>
      <c r="H7" s="1147" t="s">
        <v>3449</v>
      </c>
      <c r="I7" s="1149" t="s">
        <v>550</v>
      </c>
      <c r="L7" s="322"/>
      <c r="M7" s="322"/>
      <c r="N7" s="322"/>
      <c r="O7" s="322"/>
      <c r="P7" s="322"/>
      <c r="Q7" s="322"/>
      <c r="R7" s="322"/>
    </row>
    <row r="8" spans="1:18" ht="13.5" customHeight="1" thickBot="1">
      <c r="B8" s="1153"/>
      <c r="C8" s="1153"/>
      <c r="D8" s="1153"/>
      <c r="E8" s="1153"/>
      <c r="F8" s="1273"/>
      <c r="G8" s="1274"/>
      <c r="H8" s="1155"/>
      <c r="I8" s="1275"/>
      <c r="L8" s="322"/>
      <c r="M8" s="322"/>
      <c r="N8" s="322"/>
      <c r="O8" s="322"/>
      <c r="P8" s="322"/>
      <c r="Q8" s="322"/>
      <c r="R8" s="322"/>
    </row>
    <row r="9" spans="1:18" ht="21" customHeight="1" thickTop="1">
      <c r="B9" s="1966"/>
      <c r="C9" s="1966"/>
      <c r="D9" s="1966"/>
      <c r="E9" s="1966"/>
      <c r="F9" s="1967"/>
      <c r="G9" s="801"/>
      <c r="H9" s="605"/>
      <c r="I9" s="802"/>
      <c r="L9" s="377"/>
      <c r="M9" s="322"/>
      <c r="N9" s="322"/>
      <c r="O9" s="322"/>
      <c r="P9" s="322"/>
      <c r="Q9" s="322"/>
      <c r="R9" s="322"/>
    </row>
    <row r="10" spans="1:18" ht="21" customHeight="1">
      <c r="B10" s="1968"/>
      <c r="C10" s="1968"/>
      <c r="D10" s="1968"/>
      <c r="E10" s="1968"/>
      <c r="F10" s="1969"/>
      <c r="G10" s="631"/>
      <c r="H10" s="601"/>
      <c r="I10" s="602"/>
      <c r="L10" s="322"/>
      <c r="M10" s="322"/>
      <c r="N10" s="322"/>
      <c r="O10" s="322"/>
      <c r="P10" s="322"/>
      <c r="Q10" s="322"/>
      <c r="R10" s="322"/>
    </row>
    <row r="11" spans="1:18" ht="21" customHeight="1">
      <c r="B11" s="1968"/>
      <c r="C11" s="1968"/>
      <c r="D11" s="1968"/>
      <c r="E11" s="1968"/>
      <c r="F11" s="1969"/>
      <c r="G11" s="631"/>
      <c r="H11" s="601"/>
      <c r="I11" s="602"/>
      <c r="L11" s="322"/>
      <c r="M11" s="322"/>
      <c r="N11" s="322"/>
      <c r="O11" s="322"/>
      <c r="P11" s="322"/>
      <c r="Q11" s="322"/>
      <c r="R11" s="322"/>
    </row>
    <row r="12" spans="1:18" ht="21" customHeight="1">
      <c r="B12" s="1968"/>
      <c r="C12" s="1968"/>
      <c r="D12" s="1968"/>
      <c r="E12" s="1968"/>
      <c r="F12" s="1969"/>
      <c r="G12" s="631"/>
      <c r="H12" s="601"/>
      <c r="I12" s="602"/>
      <c r="L12" s="322"/>
      <c r="M12" s="322"/>
      <c r="N12" s="322"/>
      <c r="O12" s="322"/>
      <c r="P12" s="322"/>
      <c r="Q12" s="322"/>
      <c r="R12" s="322"/>
    </row>
    <row r="13" spans="1:18" ht="21" customHeight="1">
      <c r="B13" s="1968"/>
      <c r="C13" s="1968"/>
      <c r="D13" s="1968"/>
      <c r="E13" s="1968"/>
      <c r="F13" s="1969"/>
      <c r="G13" s="631"/>
      <c r="H13" s="601"/>
      <c r="I13" s="602"/>
      <c r="L13" s="322"/>
      <c r="M13" s="322"/>
      <c r="N13" s="322"/>
      <c r="O13" s="322"/>
      <c r="P13" s="322"/>
      <c r="Q13" s="322"/>
      <c r="R13" s="322"/>
    </row>
    <row r="14" spans="1:18" ht="21" customHeight="1">
      <c r="B14" s="1968"/>
      <c r="C14" s="1968"/>
      <c r="D14" s="1968"/>
      <c r="E14" s="1968"/>
      <c r="F14" s="1969"/>
      <c r="G14" s="632"/>
      <c r="H14" s="601"/>
      <c r="I14" s="602"/>
      <c r="L14" s="322"/>
      <c r="M14" s="322"/>
      <c r="N14" s="322"/>
      <c r="O14" s="322"/>
      <c r="P14" s="322"/>
      <c r="Q14" s="322"/>
      <c r="R14" s="322"/>
    </row>
    <row r="15" spans="1:18" ht="21" customHeight="1">
      <c r="A15" s="1792" t="s">
        <v>3448</v>
      </c>
      <c r="B15" s="1968"/>
      <c r="C15" s="1968"/>
      <c r="D15" s="1968"/>
      <c r="E15" s="1968"/>
      <c r="F15" s="1969"/>
      <c r="G15" s="631"/>
      <c r="H15" s="601"/>
      <c r="I15" s="602"/>
      <c r="L15" s="322"/>
      <c r="M15" s="322"/>
      <c r="N15" s="322"/>
      <c r="O15" s="322"/>
      <c r="P15" s="322"/>
      <c r="Q15" s="322"/>
      <c r="R15" s="322"/>
    </row>
    <row r="16" spans="1:18" ht="21" customHeight="1">
      <c r="A16" s="1792"/>
      <c r="B16" s="1968"/>
      <c r="C16" s="1968"/>
      <c r="D16" s="1968"/>
      <c r="E16" s="1968"/>
      <c r="F16" s="1969"/>
      <c r="G16" s="631"/>
      <c r="H16" s="601"/>
      <c r="I16" s="602"/>
      <c r="L16" s="322"/>
      <c r="M16" s="322"/>
      <c r="N16" s="322"/>
      <c r="O16" s="322"/>
      <c r="P16" s="322"/>
      <c r="Q16" s="322"/>
      <c r="R16" s="322"/>
    </row>
    <row r="17" spans="1:18" ht="21" customHeight="1">
      <c r="A17" s="1792"/>
      <c r="B17" s="1968"/>
      <c r="C17" s="1968"/>
      <c r="D17" s="1968"/>
      <c r="E17" s="1968"/>
      <c r="F17" s="1969"/>
      <c r="G17" s="631"/>
      <c r="H17" s="601"/>
      <c r="I17" s="602"/>
      <c r="L17" s="322"/>
      <c r="M17" s="322"/>
      <c r="N17" s="322"/>
      <c r="O17" s="322"/>
      <c r="P17" s="322"/>
      <c r="Q17" s="322"/>
      <c r="R17" s="322"/>
    </row>
    <row r="18" spans="1:18" ht="21" customHeight="1">
      <c r="A18" s="545"/>
      <c r="B18" s="1968"/>
      <c r="C18" s="1968"/>
      <c r="D18" s="1968"/>
      <c r="E18" s="1968"/>
      <c r="F18" s="1969"/>
      <c r="G18" s="631"/>
      <c r="H18" s="601"/>
      <c r="I18" s="602"/>
      <c r="L18" s="322"/>
      <c r="M18" s="322"/>
      <c r="N18" s="322"/>
      <c r="O18" s="322"/>
      <c r="P18" s="322"/>
      <c r="Q18" s="322"/>
      <c r="R18" s="322"/>
    </row>
    <row r="19" spans="1:18" ht="21" customHeight="1">
      <c r="B19" s="1968"/>
      <c r="C19" s="1968"/>
      <c r="D19" s="1968"/>
      <c r="E19" s="1968"/>
      <c r="F19" s="1969"/>
      <c r="G19" s="631"/>
      <c r="H19" s="601"/>
      <c r="I19" s="602"/>
      <c r="L19" s="322"/>
      <c r="M19" s="322"/>
      <c r="N19" s="322"/>
      <c r="O19" s="322"/>
      <c r="P19" s="322"/>
      <c r="Q19" s="322"/>
      <c r="R19" s="322"/>
    </row>
    <row r="20" spans="1:18" ht="21" customHeight="1">
      <c r="B20" s="1968"/>
      <c r="C20" s="1968"/>
      <c r="D20" s="1968"/>
      <c r="E20" s="1968"/>
      <c r="F20" s="1969"/>
      <c r="G20" s="631"/>
      <c r="H20" s="601"/>
      <c r="I20" s="602"/>
      <c r="L20" s="322"/>
      <c r="M20" s="322"/>
      <c r="N20" s="322"/>
      <c r="O20" s="322"/>
      <c r="P20" s="322"/>
      <c r="Q20" s="322"/>
      <c r="R20" s="322"/>
    </row>
    <row r="21" spans="1:18" ht="21" customHeight="1">
      <c r="B21" s="1968"/>
      <c r="C21" s="1968"/>
      <c r="D21" s="1968"/>
      <c r="E21" s="1968"/>
      <c r="F21" s="1969"/>
      <c r="G21" s="631"/>
      <c r="H21" s="601"/>
      <c r="I21" s="602"/>
      <c r="L21" s="322"/>
      <c r="M21" s="322"/>
      <c r="N21" s="322"/>
      <c r="O21" s="322"/>
      <c r="P21" s="322"/>
      <c r="Q21" s="322"/>
      <c r="R21" s="322"/>
    </row>
    <row r="22" spans="1:18" ht="21" customHeight="1" thickBot="1">
      <c r="B22" s="1968"/>
      <c r="C22" s="1968"/>
      <c r="D22" s="1968"/>
      <c r="E22" s="1968"/>
      <c r="F22" s="1969"/>
      <c r="G22" s="633"/>
      <c r="H22" s="627"/>
      <c r="I22" s="634"/>
      <c r="L22" s="322"/>
      <c r="M22" s="322"/>
      <c r="N22" s="322"/>
      <c r="O22" s="322"/>
      <c r="P22" s="322"/>
      <c r="Q22" s="322"/>
      <c r="R22" s="322"/>
    </row>
    <row r="23" spans="1:18" ht="21" customHeight="1" thickTop="1" thickBot="1">
      <c r="B23" s="544"/>
      <c r="C23" s="1162"/>
      <c r="D23" s="1373" t="s">
        <v>174</v>
      </c>
      <c r="E23" s="1059"/>
      <c r="F23" s="1273"/>
      <c r="G23" s="1374">
        <f>SUM(G9:G22)</f>
        <v>0</v>
      </c>
      <c r="H23" s="1083">
        <f>SUM(H9:H22)</f>
        <v>0</v>
      </c>
      <c r="I23" s="1161">
        <f>SUM(I9:I22)</f>
        <v>0</v>
      </c>
      <c r="L23" s="322"/>
      <c r="M23" s="322"/>
      <c r="N23" s="322"/>
      <c r="O23" s="322"/>
      <c r="P23" s="322"/>
      <c r="Q23" s="322"/>
      <c r="R23" s="322"/>
    </row>
    <row r="24" spans="1:18" ht="13.5" customHeight="1" thickTop="1">
      <c r="B24" s="803"/>
      <c r="C24" s="411"/>
      <c r="D24" s="804"/>
      <c r="H24" s="504"/>
      <c r="I24" s="504"/>
    </row>
    <row r="25" spans="1:18" ht="13.5" customHeight="1">
      <c r="B25" s="803"/>
      <c r="C25" s="411"/>
      <c r="D25" s="804"/>
    </row>
    <row r="26" spans="1:18" ht="13.5" customHeight="1">
      <c r="B26" s="803"/>
      <c r="C26" s="411"/>
      <c r="D26" s="804"/>
      <c r="H26" s="800"/>
    </row>
    <row r="27" spans="1:18">
      <c r="B27" s="541"/>
      <c r="C27" s="411"/>
      <c r="D27" s="411"/>
    </row>
  </sheetData>
  <sheetProtection algorithmName="SHA-512" hashValue="VjEHSo1P8alOMbW5ILMGtmjH5Uoagr/E2R2WpzhRoLMRI8CyXiqZD+bR3i69V6ZUib8W+rmQVIGHCP4UY4MIug==" saltValue="z+7EbUf/vrQW6ouaphRZ8w=="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20">
    <mergeCell ref="B18:F18"/>
    <mergeCell ref="B19:F19"/>
    <mergeCell ref="B20:F20"/>
    <mergeCell ref="B21:F21"/>
    <mergeCell ref="B22:F22"/>
    <mergeCell ref="A15:A17"/>
    <mergeCell ref="B2:I2"/>
    <mergeCell ref="B3:I3"/>
    <mergeCell ref="B4:F4"/>
    <mergeCell ref="H5:I6"/>
    <mergeCell ref="C6:D6"/>
    <mergeCell ref="B9:F9"/>
    <mergeCell ref="B10:F10"/>
    <mergeCell ref="B11:F11"/>
    <mergeCell ref="B12:F12"/>
    <mergeCell ref="B13:F13"/>
    <mergeCell ref="B14:F14"/>
    <mergeCell ref="B15:F15"/>
    <mergeCell ref="B16:F16"/>
    <mergeCell ref="B17:F17"/>
  </mergeCells>
  <pageMargins left="0.25" right="0.25" top="0.5" bottom="0.5" header="0.25" footer="0.25"/>
  <pageSetup paperSize="5" orientation="landscape" r:id="rId5"/>
  <headerFooter alignWithMargins="0"/>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Sheet286">
    <tabColor theme="3" tint="0.79998168889431442"/>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INPUTS'!D57)&amp;"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943"/>
      <c r="C4" s="1943"/>
      <c r="D4" s="1944"/>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151"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701"/>
      <c r="C9" s="673"/>
      <c r="D9" s="676"/>
      <c r="E9" s="605"/>
      <c r="F9" s="605"/>
      <c r="G9" s="605"/>
      <c r="H9" s="605"/>
      <c r="I9" s="605"/>
      <c r="J9" s="605"/>
      <c r="K9" s="605"/>
      <c r="L9" s="802"/>
      <c r="O9" s="322"/>
      <c r="P9" s="322"/>
      <c r="Q9" s="322"/>
      <c r="R9" s="322"/>
      <c r="S9" s="322"/>
      <c r="T9" s="322"/>
      <c r="U9" s="322"/>
    </row>
    <row r="10" spans="2:21" ht="21" customHeight="1">
      <c r="B10" s="705"/>
      <c r="C10" s="648"/>
      <c r="D10" s="652"/>
      <c r="E10" s="601"/>
      <c r="F10" s="601"/>
      <c r="G10" s="601"/>
      <c r="H10" s="601"/>
      <c r="I10" s="601"/>
      <c r="J10" s="601"/>
      <c r="K10" s="602"/>
      <c r="L10" s="602"/>
      <c r="O10" s="377"/>
      <c r="P10" s="322"/>
      <c r="Q10" s="322"/>
      <c r="R10" s="322"/>
      <c r="S10" s="322"/>
      <c r="T10" s="322"/>
      <c r="U10" s="322"/>
    </row>
    <row r="11" spans="2:21" ht="21" customHeight="1">
      <c r="B11" s="805"/>
      <c r="C11" s="648"/>
      <c r="D11" s="652"/>
      <c r="E11" s="601"/>
      <c r="F11" s="601"/>
      <c r="G11" s="601"/>
      <c r="H11" s="601"/>
      <c r="I11" s="601"/>
      <c r="J11" s="601"/>
      <c r="K11" s="602"/>
      <c r="L11" s="602"/>
      <c r="O11" s="322"/>
      <c r="P11" s="322"/>
      <c r="Q11" s="322"/>
      <c r="R11" s="322"/>
      <c r="S11" s="322"/>
      <c r="T11" s="322"/>
      <c r="U11" s="322"/>
    </row>
    <row r="12" spans="2:21" ht="21" customHeight="1">
      <c r="B12" s="805"/>
      <c r="C12" s="648"/>
      <c r="D12" s="652"/>
      <c r="E12" s="601"/>
      <c r="F12" s="601"/>
      <c r="G12" s="601"/>
      <c r="H12" s="601"/>
      <c r="I12" s="374"/>
      <c r="J12" s="601"/>
      <c r="K12" s="602"/>
      <c r="L12" s="602"/>
      <c r="O12" s="322"/>
      <c r="P12" s="322"/>
      <c r="Q12" s="322"/>
      <c r="R12" s="322"/>
      <c r="S12" s="322"/>
      <c r="T12" s="322"/>
      <c r="U12" s="322"/>
    </row>
    <row r="13" spans="2:21" ht="21" customHeight="1">
      <c r="B13" s="805"/>
      <c r="C13" s="648"/>
      <c r="D13" s="652"/>
      <c r="E13" s="601"/>
      <c r="F13" s="601"/>
      <c r="G13" s="601"/>
      <c r="H13" s="601"/>
      <c r="I13" s="601"/>
      <c r="J13" s="601"/>
      <c r="K13" s="602"/>
      <c r="L13" s="602"/>
      <c r="O13" s="322"/>
      <c r="P13" s="322"/>
      <c r="Q13" s="322"/>
      <c r="R13" s="322"/>
      <c r="S13" s="322"/>
      <c r="T13" s="322"/>
      <c r="U13" s="322"/>
    </row>
    <row r="14" spans="2:21" ht="21" customHeight="1">
      <c r="B14" s="705"/>
      <c r="C14" s="648"/>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3450</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3658</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438"/>
      <c r="C28" s="1164" t="s">
        <v>663</v>
      </c>
      <c r="D28" s="1439"/>
      <c r="E28" s="1146"/>
      <c r="F28" s="1146"/>
      <c r="G28" s="1146"/>
      <c r="H28" s="1146"/>
      <c r="I28" s="1146"/>
      <c r="J28" s="1146"/>
      <c r="K28" s="1369"/>
      <c r="L28" s="1369"/>
    </row>
    <row r="42" spans="11:12">
      <c r="K42" s="331" t="s">
        <v>3492</v>
      </c>
      <c r="L42" s="553">
        <f>K27+L27</f>
        <v>0</v>
      </c>
    </row>
  </sheetData>
  <sheetProtection algorithmName="SHA-512" hashValue="0jvxnQnMToVt4WByRqxC+etq2zDXO5pRc6WD5EREDCjI3sps9PLS9fBCHdwrRrnlwdA3lV2wG1438w/PZT7deA==" saltValue="HJalhgfZd3T7G/kgGHuVYA=="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Sheet287">
    <tabColor theme="3" tint="0.79998168889431442"/>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INPUTS'!D57)&amp;"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943"/>
      <c r="C4" s="1943"/>
      <c r="D4" s="1944"/>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151"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10" t="s">
        <v>3546</v>
      </c>
      <c r="C9" s="1170"/>
      <c r="D9" s="1432"/>
      <c r="E9" s="1309">
        <f>+'52-Utility 6'!E27</f>
        <v>0</v>
      </c>
      <c r="F9" s="1309">
        <f>+'52-Utility 6'!F27</f>
        <v>0</v>
      </c>
      <c r="G9" s="1309">
        <f>+'52-Utility 6'!G27</f>
        <v>0</v>
      </c>
      <c r="H9" s="1309">
        <f>+'52-Utility 6'!H27</f>
        <v>0</v>
      </c>
      <c r="I9" s="1309">
        <f>+'52-Utility 6'!I27</f>
        <v>0</v>
      </c>
      <c r="J9" s="1309">
        <f>+'52-Utility 6'!J27</f>
        <v>0</v>
      </c>
      <c r="K9" s="1309">
        <f>+'52-Utility 6'!K27</f>
        <v>0</v>
      </c>
      <c r="L9" s="1440">
        <f>+'52-Utility 6'!L27</f>
        <v>0</v>
      </c>
      <c r="O9" s="322"/>
      <c r="P9" s="322"/>
      <c r="Q9" s="322"/>
      <c r="R9" s="322"/>
      <c r="S9" s="322"/>
      <c r="T9" s="322"/>
      <c r="U9" s="322"/>
    </row>
    <row r="10" spans="2:21" ht="21" customHeight="1">
      <c r="B10" s="705"/>
      <c r="C10" s="648"/>
      <c r="D10" s="652"/>
      <c r="E10" s="601"/>
      <c r="F10" s="601"/>
      <c r="G10" s="601"/>
      <c r="H10" s="601"/>
      <c r="I10" s="601"/>
      <c r="J10" s="601"/>
      <c r="K10" s="602"/>
      <c r="L10" s="602"/>
      <c r="O10" s="377"/>
      <c r="P10" s="322"/>
      <c r="Q10" s="322"/>
      <c r="R10" s="322"/>
      <c r="S10" s="322"/>
      <c r="T10" s="322"/>
      <c r="U10" s="322"/>
    </row>
    <row r="11" spans="2:21" ht="21" customHeight="1">
      <c r="B11" s="805"/>
      <c r="C11" s="648"/>
      <c r="D11" s="652"/>
      <c r="E11" s="601"/>
      <c r="F11" s="601"/>
      <c r="G11" s="601"/>
      <c r="H11" s="601"/>
      <c r="I11" s="601"/>
      <c r="J11" s="601"/>
      <c r="K11" s="602"/>
      <c r="L11" s="602"/>
      <c r="O11" s="322"/>
      <c r="P11" s="322"/>
      <c r="Q11" s="322"/>
      <c r="R11" s="322"/>
      <c r="S11" s="322"/>
      <c r="T11" s="322"/>
      <c r="U11" s="322"/>
    </row>
    <row r="12" spans="2:21" ht="21" customHeight="1">
      <c r="B12" s="805"/>
      <c r="C12" s="648"/>
      <c r="D12" s="652"/>
      <c r="E12" s="601"/>
      <c r="F12" s="601"/>
      <c r="G12" s="601"/>
      <c r="H12" s="601"/>
      <c r="I12" s="374"/>
      <c r="J12" s="601"/>
      <c r="K12" s="602"/>
      <c r="L12" s="602"/>
      <c r="O12" s="322"/>
      <c r="P12" s="322"/>
      <c r="Q12" s="322"/>
      <c r="R12" s="322"/>
      <c r="S12" s="322"/>
      <c r="T12" s="322"/>
      <c r="U12" s="322"/>
    </row>
    <row r="13" spans="2:21" ht="21" customHeight="1">
      <c r="B13" s="805"/>
      <c r="C13" s="648"/>
      <c r="D13" s="652"/>
      <c r="E13" s="601"/>
      <c r="F13" s="601"/>
      <c r="G13" s="601"/>
      <c r="H13" s="601"/>
      <c r="I13" s="601"/>
      <c r="J13" s="601"/>
      <c r="K13" s="602"/>
      <c r="L13" s="602"/>
      <c r="O13" s="322"/>
      <c r="P13" s="322"/>
      <c r="Q13" s="322"/>
      <c r="R13" s="322"/>
      <c r="S13" s="322"/>
      <c r="T13" s="322"/>
      <c r="U13" s="322"/>
    </row>
    <row r="14" spans="2:21" ht="21" customHeight="1">
      <c r="B14" s="705"/>
      <c r="C14" s="648"/>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3651</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3658</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438"/>
      <c r="C28" s="1164" t="s">
        <v>663</v>
      </c>
      <c r="D28" s="1439"/>
      <c r="E28" s="1146"/>
      <c r="F28" s="1146"/>
      <c r="G28" s="1146"/>
      <c r="H28" s="1146"/>
      <c r="I28" s="1146"/>
      <c r="J28" s="1146"/>
      <c r="K28" s="1369"/>
      <c r="L28" s="1369"/>
    </row>
    <row r="42" spans="11:12">
      <c r="K42" s="331" t="s">
        <v>3492</v>
      </c>
      <c r="L42" s="553">
        <f>K27+L27</f>
        <v>0</v>
      </c>
    </row>
  </sheetData>
  <sheetProtection algorithmName="SHA-512" hashValue="btX/jLvwkZC6q2nN+LmGLVYhWeUwd4Y9ugRFJCkhMFwjj2o1rjIFuaJuD0noT1QLXYRDaF2zhAs0GcUgZOrOrg==" saltValue="56Og0tr//UK+3y4BqyRaZw==" spinCount="100000"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Sheet288">
    <tabColor theme="3" tint="0.79998168889431442"/>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INPUTS'!D57)&amp;"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943"/>
      <c r="C4" s="1943"/>
      <c r="D4" s="1944"/>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151"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10" t="s">
        <v>3546</v>
      </c>
      <c r="C9" s="1170"/>
      <c r="D9" s="1432"/>
      <c r="E9" s="1309">
        <f>+'52.1-Utility6'!E27</f>
        <v>0</v>
      </c>
      <c r="F9" s="1309">
        <f>+'52.1-Utility6'!F27</f>
        <v>0</v>
      </c>
      <c r="G9" s="1309">
        <f>+'52.1-Utility6'!G27</f>
        <v>0</v>
      </c>
      <c r="H9" s="1309">
        <f>+'52.1-Utility6'!H27</f>
        <v>0</v>
      </c>
      <c r="I9" s="1309">
        <f>+'52.1-Utility6'!I27</f>
        <v>0</v>
      </c>
      <c r="J9" s="1309">
        <f>+'52.1-Utility6'!J27</f>
        <v>0</v>
      </c>
      <c r="K9" s="1309">
        <f>+'52.1-Utility6'!K27</f>
        <v>0</v>
      </c>
      <c r="L9" s="1440">
        <f>+'52.1-Utility6'!L27</f>
        <v>0</v>
      </c>
      <c r="O9" s="322"/>
      <c r="P9" s="322"/>
      <c r="Q9" s="322"/>
      <c r="R9" s="322"/>
      <c r="S9" s="322"/>
      <c r="T9" s="322"/>
      <c r="U9" s="322"/>
    </row>
    <row r="10" spans="2:21" ht="21" customHeight="1">
      <c r="B10" s="705"/>
      <c r="C10" s="648"/>
      <c r="D10" s="652"/>
      <c r="E10" s="601"/>
      <c r="F10" s="601"/>
      <c r="G10" s="601"/>
      <c r="H10" s="601"/>
      <c r="I10" s="601"/>
      <c r="J10" s="601"/>
      <c r="K10" s="602"/>
      <c r="L10" s="602"/>
      <c r="O10" s="377"/>
      <c r="P10" s="322"/>
      <c r="Q10" s="322"/>
      <c r="R10" s="322"/>
      <c r="S10" s="322"/>
      <c r="T10" s="322"/>
      <c r="U10" s="322"/>
    </row>
    <row r="11" spans="2:21" ht="21" customHeight="1">
      <c r="B11" s="805"/>
      <c r="C11" s="648"/>
      <c r="D11" s="652"/>
      <c r="E11" s="601"/>
      <c r="F11" s="601"/>
      <c r="G11" s="601"/>
      <c r="H11" s="601"/>
      <c r="I11" s="601"/>
      <c r="J11" s="601"/>
      <c r="K11" s="602"/>
      <c r="L11" s="602"/>
      <c r="O11" s="322"/>
      <c r="P11" s="322"/>
      <c r="Q11" s="322"/>
      <c r="R11" s="322"/>
      <c r="S11" s="322"/>
      <c r="T11" s="322"/>
      <c r="U11" s="322"/>
    </row>
    <row r="12" spans="2:21" ht="21" customHeight="1">
      <c r="B12" s="805"/>
      <c r="C12" s="648"/>
      <c r="D12" s="652"/>
      <c r="E12" s="601"/>
      <c r="F12" s="601"/>
      <c r="G12" s="601"/>
      <c r="H12" s="601"/>
      <c r="I12" s="374"/>
      <c r="J12" s="601"/>
      <c r="K12" s="602"/>
      <c r="L12" s="602"/>
      <c r="O12" s="322"/>
      <c r="P12" s="322"/>
      <c r="Q12" s="322"/>
      <c r="R12" s="322"/>
      <c r="S12" s="322"/>
      <c r="T12" s="322"/>
      <c r="U12" s="322"/>
    </row>
    <row r="13" spans="2:21" ht="21" customHeight="1">
      <c r="B13" s="805"/>
      <c r="C13" s="648"/>
      <c r="D13" s="652"/>
      <c r="E13" s="601"/>
      <c r="F13" s="601"/>
      <c r="G13" s="601"/>
      <c r="H13" s="601"/>
      <c r="I13" s="601"/>
      <c r="J13" s="601"/>
      <c r="K13" s="602"/>
      <c r="L13" s="602"/>
      <c r="O13" s="322"/>
      <c r="P13" s="322"/>
      <c r="Q13" s="322"/>
      <c r="R13" s="322"/>
      <c r="S13" s="322"/>
      <c r="T13" s="322"/>
      <c r="U13" s="322"/>
    </row>
    <row r="14" spans="2:21" ht="21" customHeight="1">
      <c r="B14" s="705"/>
      <c r="C14" s="648"/>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3652</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3658</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438"/>
      <c r="C28" s="1164" t="s">
        <v>663</v>
      </c>
      <c r="D28" s="1439"/>
      <c r="E28" s="1146"/>
      <c r="F28" s="1146"/>
      <c r="G28" s="1146"/>
      <c r="H28" s="1146"/>
      <c r="I28" s="1146"/>
      <c r="J28" s="1146"/>
      <c r="K28" s="1369"/>
      <c r="L28" s="1369"/>
    </row>
    <row r="42" spans="11:12">
      <c r="K42" s="331" t="s">
        <v>3492</v>
      </c>
      <c r="L42" s="553">
        <f>K27+L27</f>
        <v>0</v>
      </c>
    </row>
  </sheetData>
  <sheetProtection algorithmName="SHA-512" hashValue="SpGOx35KLTRF7ISBNXX7BAPG827c5y3rlAQmUIAIAWbcfPLZa/ZcboMopbmUYBtd/cImS+FIjyJDk12pS4dHYA==" saltValue="UR1LyEKwCMKq4xrGYWZSIQ==" spinCount="100000"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K66"/>
  <sheetViews>
    <sheetView topLeftCell="A28" zoomScaleNormal="100" workbookViewId="0">
      <selection activeCell="J43" sqref="J43"/>
    </sheetView>
  </sheetViews>
  <sheetFormatPr defaultRowHeight="13.2"/>
  <cols>
    <col min="1" max="4" width="4.6640625" customWidth="1"/>
    <col min="5" max="9" width="16.6640625" customWidth="1"/>
    <col min="10" max="10" width="13.5546875" bestFit="1" customWidth="1"/>
    <col min="11" max="11" width="9.44140625" bestFit="1" customWidth="1"/>
  </cols>
  <sheetData>
    <row r="1" spans="1:11">
      <c r="A1" s="322"/>
      <c r="B1" s="322"/>
      <c r="C1" s="322"/>
      <c r="D1" s="322"/>
      <c r="E1" s="322"/>
      <c r="F1" s="322"/>
      <c r="G1" s="322"/>
      <c r="H1" s="322"/>
      <c r="I1" s="322"/>
    </row>
    <row r="2" spans="1:11">
      <c r="A2" s="322"/>
      <c r="B2" s="322"/>
      <c r="C2" s="322"/>
      <c r="D2" s="322"/>
      <c r="E2" s="322"/>
      <c r="F2" s="322"/>
      <c r="G2" s="322"/>
      <c r="H2" s="322"/>
      <c r="I2" s="322"/>
    </row>
    <row r="3" spans="1:11" ht="23.4" thickBot="1">
      <c r="A3" s="322"/>
      <c r="B3" s="1582" t="str">
        <f>"CASH  RECONCILIATION  DECEMBER  31, "&amp;TEXT('KEY INPUTS'!D34,"0")</f>
        <v>CASH  RECONCILIATION  DECEMBER  31, 2019</v>
      </c>
      <c r="C3" s="1582"/>
      <c r="D3" s="1582"/>
      <c r="E3" s="1582"/>
      <c r="F3" s="1582"/>
      <c r="G3" s="1582"/>
      <c r="H3" s="1582"/>
      <c r="I3" s="1582"/>
    </row>
    <row r="4" spans="1:11" ht="30" customHeight="1" thickTop="1">
      <c r="B4" s="11"/>
      <c r="C4" s="11"/>
      <c r="D4" s="11"/>
      <c r="E4" s="11"/>
      <c r="F4" s="1583" t="s">
        <v>253</v>
      </c>
      <c r="G4" s="1584"/>
      <c r="H4" s="54" t="s">
        <v>256</v>
      </c>
      <c r="I4" s="818" t="s">
        <v>258</v>
      </c>
    </row>
    <row r="5" spans="1:11" ht="30" customHeight="1">
      <c r="B5" s="322"/>
      <c r="C5" s="322"/>
      <c r="D5" s="322"/>
      <c r="E5" s="322"/>
      <c r="F5" s="762" t="s">
        <v>254</v>
      </c>
      <c r="G5" s="25" t="s">
        <v>255</v>
      </c>
      <c r="H5" s="201" t="s">
        <v>257</v>
      </c>
      <c r="I5" s="202" t="s">
        <v>671</v>
      </c>
    </row>
    <row r="6" spans="1:11" ht="21" customHeight="1">
      <c r="A6" s="853"/>
      <c r="B6" s="1586" t="s">
        <v>675</v>
      </c>
      <c r="C6" s="1586"/>
      <c r="D6" s="1586"/>
      <c r="E6" s="1587"/>
      <c r="F6" s="372">
        <f>24183.31+250</f>
        <v>24433.31</v>
      </c>
      <c r="G6" s="372">
        <f>6447082.31+22010.31</f>
        <v>6469092.6199999992</v>
      </c>
      <c r="H6" s="372">
        <v>120090.93999999994</v>
      </c>
      <c r="I6" s="214">
        <f>+F6+G6-H6</f>
        <v>6373434.9899999984</v>
      </c>
      <c r="J6" s="228"/>
      <c r="K6" s="741"/>
    </row>
    <row r="7" spans="1:11" s="322" customFormat="1" ht="21" customHeight="1">
      <c r="A7" s="853"/>
      <c r="B7" s="1585" t="s">
        <v>3471</v>
      </c>
      <c r="C7" s="1586"/>
      <c r="D7" s="1586"/>
      <c r="E7" s="1587"/>
      <c r="F7" s="372"/>
      <c r="G7" s="372">
        <v>290690.42</v>
      </c>
      <c r="H7" s="372">
        <v>13552.76</v>
      </c>
      <c r="I7" s="214">
        <f t="shared" ref="I7:I13" si="0">+F7+G7-H7</f>
        <v>277137.65999999997</v>
      </c>
      <c r="J7" s="325"/>
      <c r="K7" s="741"/>
    </row>
    <row r="8" spans="1:11" ht="21" customHeight="1">
      <c r="A8" s="853"/>
      <c r="B8" s="1585" t="s">
        <v>3522</v>
      </c>
      <c r="C8" s="1586"/>
      <c r="D8" s="1586"/>
      <c r="E8" s="1587"/>
      <c r="F8" s="372"/>
      <c r="G8" s="372">
        <v>5525.8</v>
      </c>
      <c r="H8" s="372">
        <v>1004.2</v>
      </c>
      <c r="I8" s="214">
        <f t="shared" si="0"/>
        <v>4521.6000000000004</v>
      </c>
      <c r="K8" s="741"/>
    </row>
    <row r="9" spans="1:11" ht="21" customHeight="1">
      <c r="A9" s="853"/>
      <c r="B9" s="1585" t="s">
        <v>3521</v>
      </c>
      <c r="C9" s="1586"/>
      <c r="D9" s="1586"/>
      <c r="E9" s="1587"/>
      <c r="F9" s="372"/>
      <c r="G9" s="372">
        <v>690724.02</v>
      </c>
      <c r="H9" s="372"/>
      <c r="I9" s="214">
        <f t="shared" si="0"/>
        <v>690724.02</v>
      </c>
      <c r="J9" s="228"/>
    </row>
    <row r="10" spans="1:11" ht="21" customHeight="1">
      <c r="A10" s="853"/>
      <c r="B10" s="1585" t="s">
        <v>3517</v>
      </c>
      <c r="C10" s="1586"/>
      <c r="D10" s="1586"/>
      <c r="E10" s="1587"/>
      <c r="F10" s="372"/>
      <c r="G10" s="372">
        <v>38986.03</v>
      </c>
      <c r="H10" s="372"/>
      <c r="I10" s="214">
        <f t="shared" si="0"/>
        <v>38986.03</v>
      </c>
      <c r="J10" s="228"/>
      <c r="K10" s="228"/>
    </row>
    <row r="11" spans="1:11" ht="21" customHeight="1">
      <c r="A11" s="853"/>
      <c r="B11" s="1585" t="s">
        <v>3518</v>
      </c>
      <c r="C11" s="1586"/>
      <c r="D11" s="1586"/>
      <c r="E11" s="1587"/>
      <c r="F11" s="372"/>
      <c r="G11" s="372"/>
      <c r="H11" s="372"/>
      <c r="I11" s="214">
        <f t="shared" si="0"/>
        <v>0</v>
      </c>
      <c r="J11" s="228"/>
    </row>
    <row r="12" spans="1:11" ht="21" customHeight="1">
      <c r="A12" s="853"/>
      <c r="B12" s="1585" t="s">
        <v>3519</v>
      </c>
      <c r="C12" s="1586"/>
      <c r="D12" s="1586"/>
      <c r="E12" s="1587"/>
      <c r="F12" s="372"/>
      <c r="G12" s="372"/>
      <c r="H12" s="372"/>
      <c r="I12" s="214">
        <f t="shared" si="0"/>
        <v>0</v>
      </c>
    </row>
    <row r="13" spans="1:11" ht="21" customHeight="1">
      <c r="A13" s="853"/>
      <c r="B13" s="1585" t="s">
        <v>3520</v>
      </c>
      <c r="C13" s="1586"/>
      <c r="D13" s="1586"/>
      <c r="E13" s="1587"/>
      <c r="F13" s="372">
        <v>800</v>
      </c>
      <c r="G13" s="372">
        <f>918288.89-G10+1386886.2+1137692.37+9085.61</f>
        <v>3412967.04</v>
      </c>
      <c r="H13" s="372">
        <f>628.25+33+251253.22+4292.85</f>
        <v>256207.32</v>
      </c>
      <c r="I13" s="214">
        <f t="shared" si="0"/>
        <v>3157559.72</v>
      </c>
    </row>
    <row r="14" spans="1:11" ht="21" customHeight="1">
      <c r="B14" s="1580"/>
      <c r="C14" s="1580"/>
      <c r="D14" s="1580"/>
      <c r="E14" s="1581"/>
      <c r="F14" s="372"/>
      <c r="G14" s="372"/>
      <c r="H14" s="372"/>
      <c r="I14" s="214">
        <f t="shared" ref="I14" si="1">+F14+G14-H14</f>
        <v>0</v>
      </c>
    </row>
    <row r="15" spans="1:11" ht="20.25" customHeight="1">
      <c r="B15" s="1585" t="s">
        <v>3470</v>
      </c>
      <c r="C15" s="1586"/>
      <c r="D15" s="1586"/>
      <c r="E15" s="1587"/>
      <c r="F15" s="372"/>
      <c r="G15" s="372">
        <v>2092641.79</v>
      </c>
      <c r="H15" s="372">
        <v>1600</v>
      </c>
      <c r="I15" s="214">
        <f t="shared" ref="I15:I34" si="2">+F15+G15-H15</f>
        <v>2091041.79</v>
      </c>
    </row>
    <row r="16" spans="1:11" ht="21" customHeight="1">
      <c r="B16" s="1579"/>
      <c r="C16" s="1580"/>
      <c r="D16" s="1580"/>
      <c r="E16" s="1581"/>
      <c r="F16" s="372"/>
      <c r="G16" s="372"/>
      <c r="H16" s="372"/>
      <c r="I16" s="214">
        <f t="shared" si="2"/>
        <v>0</v>
      </c>
    </row>
    <row r="17" spans="2:11" ht="21" customHeight="1">
      <c r="B17" s="1585" t="s">
        <v>3523</v>
      </c>
      <c r="C17" s="1586"/>
      <c r="D17" s="1586"/>
      <c r="E17" s="1587"/>
      <c r="F17" s="372"/>
      <c r="G17" s="372"/>
      <c r="H17" s="372"/>
      <c r="I17" s="214">
        <f t="shared" si="2"/>
        <v>0</v>
      </c>
      <c r="J17" s="228"/>
      <c r="K17" s="760" t="s">
        <v>3524</v>
      </c>
    </row>
    <row r="18" spans="2:11" ht="21" customHeight="1">
      <c r="B18" s="1579"/>
      <c r="C18" s="1580"/>
      <c r="D18" s="1580"/>
      <c r="E18" s="1581"/>
      <c r="F18" s="372"/>
      <c r="G18" s="372"/>
      <c r="H18" s="372"/>
      <c r="I18" s="214">
        <f t="shared" si="2"/>
        <v>0</v>
      </c>
      <c r="J18" s="228"/>
    </row>
    <row r="19" spans="2:11" ht="21" customHeight="1">
      <c r="B19" s="1496"/>
      <c r="C19" s="1494"/>
      <c r="D19" s="1494"/>
      <c r="E19" s="1495"/>
      <c r="F19" s="372"/>
      <c r="G19" s="372"/>
      <c r="H19" s="372"/>
      <c r="I19" s="214">
        <f t="shared" si="2"/>
        <v>0</v>
      </c>
    </row>
    <row r="20" spans="2:11" ht="21" customHeight="1">
      <c r="B20" s="1499"/>
      <c r="C20" s="1497"/>
      <c r="D20" s="1497"/>
      <c r="E20" s="1498"/>
      <c r="F20" s="372"/>
      <c r="G20" s="372"/>
      <c r="H20" s="372"/>
      <c r="I20" s="214">
        <f t="shared" si="2"/>
        <v>0</v>
      </c>
    </row>
    <row r="21" spans="2:11" ht="21" customHeight="1">
      <c r="B21" s="1494"/>
      <c r="C21" s="1494"/>
      <c r="D21" s="1494"/>
      <c r="E21" s="1495"/>
      <c r="F21" s="372"/>
      <c r="G21" s="372"/>
      <c r="H21" s="372"/>
      <c r="I21" s="214">
        <f t="shared" si="2"/>
        <v>0</v>
      </c>
    </row>
    <row r="22" spans="2:11" ht="21" customHeight="1">
      <c r="B22" s="1579"/>
      <c r="C22" s="1580"/>
      <c r="D22" s="1580"/>
      <c r="E22" s="1581"/>
      <c r="F22" s="372"/>
      <c r="G22" s="372"/>
      <c r="H22" s="372"/>
      <c r="I22" s="214">
        <f t="shared" si="2"/>
        <v>0</v>
      </c>
    </row>
    <row r="23" spans="2:11" ht="21" customHeight="1">
      <c r="B23" s="1496"/>
      <c r="C23" s="1494"/>
      <c r="D23" s="1494"/>
      <c r="E23" s="1495"/>
      <c r="F23" s="372"/>
      <c r="G23" s="372"/>
      <c r="H23" s="372"/>
      <c r="I23" s="214">
        <f t="shared" si="2"/>
        <v>0</v>
      </c>
    </row>
    <row r="24" spans="2:11" ht="21" customHeight="1">
      <c r="B24" s="1580"/>
      <c r="C24" s="1580"/>
      <c r="D24" s="1580"/>
      <c r="E24" s="1581"/>
      <c r="F24" s="372"/>
      <c r="G24" s="372"/>
      <c r="H24" s="372"/>
      <c r="I24" s="214">
        <f t="shared" si="2"/>
        <v>0</v>
      </c>
    </row>
    <row r="25" spans="2:11" ht="21" customHeight="1">
      <c r="B25" s="1494"/>
      <c r="C25" s="1494"/>
      <c r="D25" s="1494"/>
      <c r="E25" s="1495"/>
      <c r="F25" s="372"/>
      <c r="G25" s="372"/>
      <c r="H25" s="372"/>
      <c r="I25" s="214">
        <f t="shared" si="2"/>
        <v>0</v>
      </c>
    </row>
    <row r="26" spans="2:11" ht="21" customHeight="1">
      <c r="B26" s="1580"/>
      <c r="C26" s="1580"/>
      <c r="D26" s="1580"/>
      <c r="E26" s="1581"/>
      <c r="F26" s="372"/>
      <c r="G26" s="372"/>
      <c r="H26" s="372"/>
      <c r="I26" s="214">
        <f t="shared" si="2"/>
        <v>0</v>
      </c>
    </row>
    <row r="27" spans="2:11" s="322" customFormat="1" ht="21" customHeight="1">
      <c r="B27" s="1494"/>
      <c r="C27" s="1494"/>
      <c r="D27" s="1494"/>
      <c r="E27" s="1495"/>
      <c r="F27" s="372"/>
      <c r="G27" s="372"/>
      <c r="H27" s="372"/>
      <c r="I27" s="214">
        <f t="shared" si="2"/>
        <v>0</v>
      </c>
    </row>
    <row r="28" spans="2:11" s="322" customFormat="1" ht="21" customHeight="1">
      <c r="B28" s="763"/>
      <c r="C28" s="763"/>
      <c r="D28" s="763"/>
      <c r="E28" s="764"/>
      <c r="F28" s="372"/>
      <c r="G28" s="372"/>
      <c r="H28" s="372"/>
      <c r="I28" s="214">
        <f t="shared" si="2"/>
        <v>0</v>
      </c>
    </row>
    <row r="29" spans="2:11" s="322" customFormat="1" ht="21" customHeight="1">
      <c r="B29" s="763"/>
      <c r="C29" s="763"/>
      <c r="D29" s="763"/>
      <c r="E29" s="764"/>
      <c r="F29" s="372"/>
      <c r="G29" s="372"/>
      <c r="H29" s="372"/>
      <c r="I29" s="214">
        <f t="shared" si="2"/>
        <v>0</v>
      </c>
    </row>
    <row r="30" spans="2:11" ht="21" customHeight="1">
      <c r="B30" s="1580"/>
      <c r="C30" s="1580"/>
      <c r="D30" s="1580"/>
      <c r="E30" s="1581"/>
      <c r="F30" s="372"/>
      <c r="G30" s="372"/>
      <c r="H30" s="372"/>
      <c r="I30" s="214">
        <f t="shared" si="2"/>
        <v>0</v>
      </c>
    </row>
    <row r="31" spans="2:11" ht="21" customHeight="1">
      <c r="B31" s="1580"/>
      <c r="C31" s="1580"/>
      <c r="D31" s="1580"/>
      <c r="E31" s="1581"/>
      <c r="F31" s="372"/>
      <c r="G31" s="372"/>
      <c r="H31" s="372"/>
      <c r="I31" s="214">
        <f t="shared" si="2"/>
        <v>0</v>
      </c>
    </row>
    <row r="32" spans="2:11" ht="21" customHeight="1">
      <c r="B32" s="1580"/>
      <c r="C32" s="1580"/>
      <c r="D32" s="1580"/>
      <c r="E32" s="1581"/>
      <c r="F32" s="372"/>
      <c r="G32" s="372"/>
      <c r="H32" s="372"/>
      <c r="I32" s="214">
        <f t="shared" si="2"/>
        <v>0</v>
      </c>
    </row>
    <row r="33" spans="2:9" ht="21" customHeight="1">
      <c r="B33" s="1580"/>
      <c r="C33" s="1580"/>
      <c r="D33" s="1580"/>
      <c r="E33" s="1581"/>
      <c r="F33" s="372"/>
      <c r="G33" s="372"/>
      <c r="H33" s="372"/>
      <c r="I33" s="214">
        <f t="shared" si="2"/>
        <v>0</v>
      </c>
    </row>
    <row r="34" spans="2:9" ht="21" customHeight="1">
      <c r="B34" s="1588"/>
      <c r="C34" s="1588"/>
      <c r="D34" s="1588"/>
      <c r="E34" s="1589"/>
      <c r="F34" s="591"/>
      <c r="G34" s="591"/>
      <c r="H34" s="591"/>
      <c r="I34" s="231">
        <f t="shared" si="2"/>
        <v>0</v>
      </c>
    </row>
    <row r="35" spans="2:9" ht="21" customHeight="1" thickBot="1">
      <c r="B35" s="10"/>
      <c r="C35" s="10"/>
      <c r="D35" s="10"/>
      <c r="E35" s="29" t="s">
        <v>260</v>
      </c>
      <c r="F35" s="219">
        <f>SUM(F6:F34)</f>
        <v>25233.31</v>
      </c>
      <c r="G35" s="219">
        <f>SUM(G6:G34)</f>
        <v>13000627.719999999</v>
      </c>
      <c r="H35" s="219">
        <f>SUM(H6:H34)</f>
        <v>392455.22</v>
      </c>
      <c r="I35" s="220">
        <f>SUM(I6:I34)</f>
        <v>12633405.809999999</v>
      </c>
    </row>
    <row r="36" spans="2:9" ht="13.8" thickTop="1">
      <c r="B36" s="34" t="s">
        <v>712</v>
      </c>
      <c r="C36" s="322"/>
      <c r="D36" s="322"/>
      <c r="E36" s="322"/>
      <c r="F36" s="322"/>
      <c r="G36" s="325"/>
      <c r="H36" s="322"/>
      <c r="I36" s="322"/>
    </row>
    <row r="37" spans="2:9">
      <c r="B37" s="34" t="s">
        <v>713</v>
      </c>
      <c r="C37" s="322"/>
      <c r="D37" s="322"/>
      <c r="E37" s="322"/>
      <c r="F37" s="322"/>
      <c r="G37" s="325"/>
      <c r="H37" s="322"/>
      <c r="I37" s="322"/>
    </row>
    <row r="38" spans="2:9">
      <c r="B38" s="34"/>
      <c r="C38" s="322"/>
      <c r="D38" s="322"/>
      <c r="E38" s="322"/>
      <c r="F38" s="322"/>
      <c r="G38" s="322"/>
      <c r="H38" s="322"/>
      <c r="I38" s="322"/>
    </row>
    <row r="39" spans="2:9" ht="13.8">
      <c r="B39" s="35" t="s">
        <v>714</v>
      </c>
      <c r="C39" s="322"/>
      <c r="D39" s="322"/>
      <c r="E39" s="322"/>
      <c r="F39" s="322"/>
      <c r="G39" s="322"/>
      <c r="H39" s="322"/>
      <c r="I39" s="322"/>
    </row>
    <row r="40" spans="2:9">
      <c r="B40" s="34"/>
      <c r="C40" s="34" t="s">
        <v>715</v>
      </c>
      <c r="D40" s="322"/>
      <c r="E40" s="322"/>
      <c r="F40" s="322"/>
      <c r="G40" s="322"/>
      <c r="H40" s="322"/>
      <c r="I40" s="322"/>
    </row>
    <row r="41" spans="2:9">
      <c r="B41" s="34" t="str">
        <f>"applicable bank statements, certificates, agreements or passbooks at December 31, "&amp;TEXT('KEY INPUTS'!D34,"0")&amp;"."</f>
        <v>applicable bank statements, certificates, agreements or passbooks at December 31, 2019.</v>
      </c>
      <c r="C41" s="34"/>
      <c r="D41" s="322"/>
      <c r="E41" s="322"/>
      <c r="F41" s="322"/>
      <c r="G41" s="322"/>
      <c r="H41" s="322"/>
      <c r="I41" s="322"/>
    </row>
    <row r="42" spans="2:9">
      <c r="B42" s="34"/>
      <c r="C42" s="34" t="s">
        <v>190</v>
      </c>
      <c r="D42" s="322"/>
      <c r="E42" s="322"/>
      <c r="F42" s="322"/>
      <c r="G42" s="322"/>
      <c r="H42" s="322"/>
      <c r="I42" s="322"/>
    </row>
    <row r="43" spans="2:9">
      <c r="B43" s="34" t="str">
        <f>"been verified with the applicable passbook at December 31, "&amp;TEXT('KEY INPUTS'!D34,"0")&amp;"."</f>
        <v>been verified with the applicable passbook at December 31, 2019.</v>
      </c>
      <c r="C43" s="34"/>
      <c r="D43" s="322"/>
      <c r="E43" s="322"/>
      <c r="F43" s="322"/>
      <c r="G43" s="322"/>
      <c r="H43" s="322"/>
      <c r="I43" s="322"/>
    </row>
    <row r="44" spans="2:9">
      <c r="B44" s="34"/>
      <c r="C44" s="34" t="s">
        <v>143</v>
      </c>
      <c r="D44" s="322"/>
      <c r="E44" s="322"/>
      <c r="F44" s="322"/>
      <c r="G44" s="322"/>
      <c r="H44" s="322"/>
      <c r="I44" s="322"/>
    </row>
    <row r="45" spans="2:9">
      <c r="B45" s="34" t="s">
        <v>191</v>
      </c>
      <c r="C45" s="34"/>
      <c r="D45" s="322"/>
      <c r="E45" s="322"/>
      <c r="F45" s="322"/>
      <c r="G45" s="322"/>
      <c r="H45" s="322"/>
      <c r="I45" s="322"/>
    </row>
    <row r="46" spans="2:9">
      <c r="B46" s="36"/>
      <c r="C46" s="37" t="s">
        <v>144</v>
      </c>
      <c r="D46" s="322"/>
      <c r="E46" s="322"/>
      <c r="F46" s="322"/>
      <c r="G46" s="322"/>
      <c r="H46" s="322"/>
      <c r="I46" s="322"/>
    </row>
    <row r="47" spans="2:9">
      <c r="B47" s="37" t="s">
        <v>145</v>
      </c>
      <c r="C47" s="36"/>
      <c r="D47" s="322"/>
      <c r="E47" s="322"/>
      <c r="F47" s="322"/>
      <c r="G47" s="322"/>
      <c r="H47" s="322"/>
      <c r="I47" s="322"/>
    </row>
    <row r="48" spans="2:9">
      <c r="B48" s="36"/>
      <c r="C48" s="36"/>
      <c r="D48" s="322"/>
      <c r="E48" s="322"/>
      <c r="F48" s="322"/>
      <c r="G48" s="322"/>
      <c r="H48" s="322"/>
      <c r="I48" s="322"/>
    </row>
    <row r="49" spans="1:9">
      <c r="B49" s="36"/>
      <c r="C49" s="36"/>
      <c r="D49" s="322"/>
      <c r="E49" s="322"/>
      <c r="F49" s="322"/>
      <c r="G49" s="322"/>
      <c r="H49" s="322"/>
      <c r="I49" s="322"/>
    </row>
    <row r="50" spans="1:9">
      <c r="B50" s="36" t="s">
        <v>146</v>
      </c>
      <c r="C50" s="36"/>
      <c r="D50" s="1533" t="s">
        <v>3952</v>
      </c>
      <c r="E50" s="1533"/>
      <c r="F50" s="1533"/>
      <c r="G50" s="38" t="s">
        <v>147</v>
      </c>
      <c r="H50" s="1533" t="s">
        <v>3953</v>
      </c>
      <c r="I50" s="1533"/>
    </row>
    <row r="51" spans="1:9">
      <c r="A51" s="322"/>
      <c r="B51" s="36"/>
      <c r="C51" s="36"/>
      <c r="D51" s="322"/>
      <c r="E51" s="322"/>
      <c r="F51" s="322"/>
      <c r="G51" s="322"/>
      <c r="H51" s="322"/>
      <c r="I51" s="322"/>
    </row>
    <row r="52" spans="1:9" ht="13.8">
      <c r="A52" s="322"/>
      <c r="B52" s="1507" t="s">
        <v>259</v>
      </c>
      <c r="C52" s="1507"/>
      <c r="D52" s="1507"/>
      <c r="E52" s="1507"/>
      <c r="F52" s="1507"/>
      <c r="G52" s="1507"/>
      <c r="H52" s="1507"/>
      <c r="I52" s="1507"/>
    </row>
    <row r="59" spans="1:9">
      <c r="G59" s="228"/>
    </row>
    <row r="61" spans="1:9">
      <c r="G61" s="228"/>
    </row>
    <row r="66" spans="7:7">
      <c r="G66" s="312"/>
    </row>
  </sheetData>
  <sheetProtection algorithmName="SHA-512" hashValue="986eSXp9ZvWNFf71LIEgVEgKPVBQMplStPugvLWbPMezXY+Kxr8WDuQpH/T4NfsBweHhtGgSp/hIfURS1Yc7kA==" saltValue="Fu/Eqyhrau0jjO8eAv5gbw=="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6" sqref="B16:E16"/>
      <pageMargins left="0.25" right="0.25" top="0.5" bottom="0.5" header="0.25" footer="0.25"/>
      <pageSetup paperSize="5" orientation="portrait" r:id="rId2"/>
      <headerFooter alignWithMargins="0"/>
    </customSheetView>
    <customSheetView guid="{A64E4C9E-A3DA-4AAA-8607-F524450B9436}">
      <selection activeCell="B16" sqref="B16:E16"/>
      <pageMargins left="0.25" right="0.25" top="0.5" bottom="0.5" header="0.25" footer="0.25"/>
      <pageSetup paperSize="5" orientation="portrait" r:id="rId3"/>
      <headerFooter alignWithMargins="0"/>
    </customSheetView>
    <customSheetView guid="{AB4FBD91-4533-473A-9702-569FF6402073}">
      <selection activeCell="F7" sqref="F7"/>
      <pageMargins left="0.25" right="0.25" top="0.5" bottom="0.5" header="0.25" footer="0.25"/>
      <pageSetup paperSize="5" orientation="portrait" r:id="rId4"/>
      <headerFooter alignWithMargins="0"/>
    </customSheetView>
  </customSheetViews>
  <mergeCells count="26">
    <mergeCell ref="B52:I52"/>
    <mergeCell ref="B6:E6"/>
    <mergeCell ref="B8:E8"/>
    <mergeCell ref="B9:E9"/>
    <mergeCell ref="B10:E10"/>
    <mergeCell ref="B11:E11"/>
    <mergeCell ref="B12:E12"/>
    <mergeCell ref="B13:E13"/>
    <mergeCell ref="B14:E14"/>
    <mergeCell ref="B15:E15"/>
    <mergeCell ref="B16:E16"/>
    <mergeCell ref="B17:E17"/>
    <mergeCell ref="B33:E33"/>
    <mergeCell ref="B34:E34"/>
    <mergeCell ref="D50:F50"/>
    <mergeCell ref="B22:E22"/>
    <mergeCell ref="B18:E18"/>
    <mergeCell ref="H50:I50"/>
    <mergeCell ref="B26:E26"/>
    <mergeCell ref="B30:E30"/>
    <mergeCell ref="B3:I3"/>
    <mergeCell ref="F4:G4"/>
    <mergeCell ref="B7:E7"/>
    <mergeCell ref="B32:E32"/>
    <mergeCell ref="B24:E24"/>
    <mergeCell ref="B31:E31"/>
  </mergeCells>
  <phoneticPr fontId="0" type="noConversion"/>
  <pageMargins left="0.25" right="0.25" top="0.5" bottom="0.5" header="0.25" footer="0.25"/>
  <pageSetup paperSize="5" orientation="portrait" r:id="rId5"/>
  <headerFooter alignWithMargins="0"/>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Sheet289">
    <tabColor theme="3" tint="0.79998168889431442"/>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INPUTS'!D57)&amp;"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943"/>
      <c r="C4" s="1943"/>
      <c r="D4" s="1944"/>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151"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10" t="s">
        <v>3546</v>
      </c>
      <c r="C9" s="1170"/>
      <c r="D9" s="1432"/>
      <c r="E9" s="1309">
        <f>+'52.2-Utility6'!E27</f>
        <v>0</v>
      </c>
      <c r="F9" s="1309">
        <f>+'52.2-Utility6'!F27</f>
        <v>0</v>
      </c>
      <c r="G9" s="1309">
        <f>+'52.2-Utility6'!G27</f>
        <v>0</v>
      </c>
      <c r="H9" s="1309">
        <f>+'52.2-Utility6'!H27</f>
        <v>0</v>
      </c>
      <c r="I9" s="1309">
        <f>+'52.2-Utility6'!I27</f>
        <v>0</v>
      </c>
      <c r="J9" s="1309">
        <f>+'52.2-Utility6'!J27</f>
        <v>0</v>
      </c>
      <c r="K9" s="1309">
        <f>+'52.2-Utility6'!K27</f>
        <v>0</v>
      </c>
      <c r="L9" s="1440">
        <f>+'52.2-Utility6'!L27</f>
        <v>0</v>
      </c>
      <c r="O9" s="322"/>
      <c r="P9" s="322"/>
      <c r="Q9" s="322"/>
      <c r="R9" s="322"/>
      <c r="S9" s="322"/>
      <c r="T9" s="322"/>
      <c r="U9" s="322"/>
    </row>
    <row r="10" spans="2:21" ht="21" customHeight="1">
      <c r="B10" s="705"/>
      <c r="C10" s="648"/>
      <c r="D10" s="652"/>
      <c r="E10" s="601"/>
      <c r="F10" s="601"/>
      <c r="G10" s="601"/>
      <c r="H10" s="601"/>
      <c r="I10" s="601"/>
      <c r="J10" s="601"/>
      <c r="K10" s="602"/>
      <c r="L10" s="602"/>
      <c r="O10" s="377"/>
      <c r="P10" s="322"/>
      <c r="Q10" s="322"/>
      <c r="R10" s="322"/>
      <c r="S10" s="322"/>
      <c r="T10" s="322"/>
      <c r="U10" s="322"/>
    </row>
    <row r="11" spans="2:21" ht="21" customHeight="1">
      <c r="B11" s="805"/>
      <c r="C11" s="648"/>
      <c r="D11" s="652"/>
      <c r="E11" s="601"/>
      <c r="F11" s="601"/>
      <c r="G11" s="601"/>
      <c r="H11" s="601"/>
      <c r="I11" s="601"/>
      <c r="J11" s="601"/>
      <c r="K11" s="602"/>
      <c r="L11" s="602"/>
      <c r="O11" s="322"/>
      <c r="P11" s="322"/>
      <c r="Q11" s="322"/>
      <c r="R11" s="322"/>
      <c r="S11" s="322"/>
      <c r="T11" s="322"/>
      <c r="U11" s="322"/>
    </row>
    <row r="12" spans="2:21" ht="21" customHeight="1">
      <c r="B12" s="805"/>
      <c r="C12" s="648"/>
      <c r="D12" s="652"/>
      <c r="E12" s="601"/>
      <c r="F12" s="601"/>
      <c r="G12" s="601"/>
      <c r="H12" s="601"/>
      <c r="I12" s="374"/>
      <c r="J12" s="601"/>
      <c r="K12" s="602"/>
      <c r="L12" s="602"/>
      <c r="O12" s="322"/>
      <c r="P12" s="322"/>
      <c r="Q12" s="322"/>
      <c r="R12" s="322"/>
      <c r="S12" s="322"/>
      <c r="T12" s="322"/>
      <c r="U12" s="322"/>
    </row>
    <row r="13" spans="2:21" ht="21" customHeight="1">
      <c r="B13" s="805"/>
      <c r="C13" s="648"/>
      <c r="D13" s="652"/>
      <c r="E13" s="601"/>
      <c r="F13" s="601"/>
      <c r="G13" s="601"/>
      <c r="H13" s="601"/>
      <c r="I13" s="601"/>
      <c r="J13" s="601"/>
      <c r="K13" s="602"/>
      <c r="L13" s="602"/>
      <c r="O13" s="322"/>
      <c r="P13" s="322"/>
      <c r="Q13" s="322"/>
      <c r="R13" s="322"/>
      <c r="S13" s="322"/>
      <c r="T13" s="322"/>
      <c r="U13" s="322"/>
    </row>
    <row r="14" spans="2:21" ht="21" customHeight="1">
      <c r="B14" s="705"/>
      <c r="C14" s="648"/>
      <c r="D14" s="652"/>
      <c r="E14" s="601"/>
      <c r="F14" s="601"/>
      <c r="G14" s="601"/>
      <c r="H14" s="601"/>
      <c r="I14" s="601"/>
      <c r="J14" s="601"/>
      <c r="K14" s="602"/>
      <c r="L14" s="602"/>
      <c r="O14" s="322"/>
      <c r="P14" s="322"/>
      <c r="Q14" s="322"/>
      <c r="R14" s="322"/>
      <c r="S14" s="322"/>
      <c r="T14" s="322"/>
      <c r="U14" s="322"/>
    </row>
    <row r="15" spans="2:21" ht="21" customHeight="1">
      <c r="B15" s="705"/>
      <c r="C15" s="648"/>
      <c r="D15" s="652"/>
      <c r="E15" s="601"/>
      <c r="F15" s="601"/>
      <c r="G15" s="601"/>
      <c r="H15" s="601"/>
      <c r="I15" s="601"/>
      <c r="J15" s="601"/>
      <c r="K15" s="602"/>
      <c r="L15" s="602"/>
      <c r="O15" s="322"/>
      <c r="P15" s="322"/>
      <c r="Q15" s="322"/>
      <c r="R15" s="322"/>
      <c r="S15" s="322"/>
      <c r="T15" s="322"/>
      <c r="U15" s="322"/>
    </row>
    <row r="16" spans="2:21" ht="21" customHeight="1">
      <c r="B16" s="705"/>
      <c r="C16" s="648"/>
      <c r="D16" s="652"/>
      <c r="E16" s="604"/>
      <c r="F16" s="604"/>
      <c r="G16" s="604"/>
      <c r="H16" s="604"/>
      <c r="I16" s="604"/>
      <c r="J16" s="604"/>
      <c r="K16" s="602"/>
      <c r="L16" s="602"/>
      <c r="O16" s="322"/>
      <c r="P16" s="322"/>
      <c r="Q16" s="322"/>
      <c r="R16" s="322"/>
      <c r="S16" s="322"/>
      <c r="T16" s="322"/>
      <c r="U16" s="322"/>
    </row>
    <row r="17" spans="1:21" ht="21" customHeight="1">
      <c r="A17" s="1792" t="s">
        <v>3653</v>
      </c>
      <c r="B17" s="705"/>
      <c r="C17" s="648"/>
      <c r="D17" s="652"/>
      <c r="E17" s="601"/>
      <c r="F17" s="601"/>
      <c r="G17" s="601"/>
      <c r="H17" s="601"/>
      <c r="I17" s="601"/>
      <c r="J17" s="601"/>
      <c r="K17" s="602"/>
      <c r="L17" s="602"/>
      <c r="O17" s="322"/>
      <c r="P17" s="322"/>
      <c r="Q17" s="322"/>
      <c r="R17" s="322"/>
      <c r="S17" s="322"/>
      <c r="T17" s="322"/>
      <c r="U17" s="322"/>
    </row>
    <row r="18" spans="1:21" ht="21" customHeight="1">
      <c r="A18" s="1792"/>
      <c r="B18" s="705"/>
      <c r="C18" s="648"/>
      <c r="D18" s="652"/>
      <c r="E18" s="601"/>
      <c r="F18" s="601"/>
      <c r="G18" s="601"/>
      <c r="H18" s="601"/>
      <c r="I18" s="601"/>
      <c r="J18" s="601"/>
      <c r="K18" s="602"/>
      <c r="L18" s="602"/>
      <c r="O18" s="322"/>
      <c r="P18" s="322"/>
      <c r="Q18" s="322"/>
      <c r="R18" s="322"/>
      <c r="S18" s="322"/>
      <c r="T18" s="322"/>
      <c r="U18" s="322"/>
    </row>
    <row r="19" spans="1:21" ht="21" customHeight="1">
      <c r="A19" s="1792"/>
      <c r="B19" s="705"/>
      <c r="C19" s="648"/>
      <c r="D19" s="652"/>
      <c r="E19" s="601"/>
      <c r="F19" s="601"/>
      <c r="G19" s="601"/>
      <c r="H19" s="601"/>
      <c r="I19" s="601"/>
      <c r="J19" s="601"/>
      <c r="K19" s="602"/>
      <c r="L19" s="602"/>
      <c r="O19" s="322"/>
      <c r="P19" s="322"/>
      <c r="Q19" s="322"/>
      <c r="R19" s="322"/>
      <c r="S19" s="322"/>
      <c r="T19" s="322"/>
      <c r="U19" s="322"/>
    </row>
    <row r="20" spans="1:21" ht="21" customHeight="1">
      <c r="A20" s="545"/>
      <c r="B20" s="705"/>
      <c r="C20" s="648"/>
      <c r="D20" s="652"/>
      <c r="E20" s="601"/>
      <c r="F20" s="601"/>
      <c r="G20" s="601"/>
      <c r="H20" s="601"/>
      <c r="I20" s="601"/>
      <c r="J20" s="601"/>
      <c r="K20" s="602"/>
      <c r="L20" s="602"/>
      <c r="O20" s="322"/>
      <c r="P20" s="322"/>
      <c r="Q20" s="322"/>
      <c r="R20" s="322"/>
      <c r="S20" s="322"/>
      <c r="T20" s="322"/>
      <c r="U20" s="322"/>
    </row>
    <row r="21" spans="1:21" ht="21" customHeight="1">
      <c r="A21" s="545"/>
      <c r="B21" s="705"/>
      <c r="C21" s="648"/>
      <c r="D21" s="652"/>
      <c r="E21" s="601"/>
      <c r="F21" s="601"/>
      <c r="G21" s="601"/>
      <c r="H21" s="601"/>
      <c r="I21" s="601"/>
      <c r="J21" s="601"/>
      <c r="K21" s="602"/>
      <c r="L21" s="602"/>
      <c r="O21" s="322"/>
      <c r="P21" s="322"/>
      <c r="Q21" s="322"/>
      <c r="R21" s="322"/>
      <c r="S21" s="322"/>
      <c r="T21" s="322"/>
      <c r="U21" s="322"/>
    </row>
    <row r="22" spans="1:21" ht="21" customHeight="1">
      <c r="A22" s="545"/>
      <c r="B22" s="705"/>
      <c r="C22" s="648"/>
      <c r="D22" s="652"/>
      <c r="E22" s="601"/>
      <c r="F22" s="601"/>
      <c r="G22" s="601"/>
      <c r="H22" s="601"/>
      <c r="I22" s="601"/>
      <c r="J22" s="601"/>
      <c r="K22" s="602"/>
      <c r="L22" s="602"/>
      <c r="O22" s="322"/>
      <c r="P22" s="322"/>
      <c r="Q22" s="322"/>
      <c r="R22" s="322"/>
      <c r="S22" s="322"/>
      <c r="T22" s="322"/>
      <c r="U22" s="322"/>
    </row>
    <row r="23" spans="1:21" ht="21" customHeight="1">
      <c r="B23" s="705"/>
      <c r="C23" s="648"/>
      <c r="D23" s="652"/>
      <c r="E23" s="601"/>
      <c r="F23" s="601"/>
      <c r="G23" s="601"/>
      <c r="H23" s="601"/>
      <c r="I23" s="601"/>
      <c r="J23" s="601"/>
      <c r="K23" s="602"/>
      <c r="L23" s="602"/>
      <c r="O23" s="322"/>
      <c r="P23" s="322"/>
      <c r="Q23" s="322"/>
      <c r="R23" s="322"/>
      <c r="S23" s="322"/>
      <c r="T23" s="322"/>
      <c r="U23" s="322"/>
    </row>
    <row r="24" spans="1:21" ht="21" customHeight="1">
      <c r="B24" s="705"/>
      <c r="C24" s="648"/>
      <c r="D24" s="652"/>
      <c r="E24" s="601"/>
      <c r="F24" s="601"/>
      <c r="G24" s="601"/>
      <c r="H24" s="601"/>
      <c r="I24" s="601"/>
      <c r="J24" s="601"/>
      <c r="K24" s="602"/>
      <c r="L24" s="602"/>
      <c r="O24" s="322"/>
      <c r="P24" s="322"/>
      <c r="Q24" s="322"/>
      <c r="R24" s="322"/>
      <c r="S24" s="322"/>
      <c r="T24" s="322"/>
      <c r="U24" s="322"/>
    </row>
    <row r="25" spans="1:21" ht="21" customHeight="1">
      <c r="B25" s="705"/>
      <c r="C25" s="648"/>
      <c r="D25" s="652"/>
      <c r="E25" s="601"/>
      <c r="F25" s="601"/>
      <c r="G25" s="601"/>
      <c r="H25" s="601"/>
      <c r="I25" s="601"/>
      <c r="J25" s="601"/>
      <c r="K25" s="602"/>
      <c r="L25" s="602"/>
    </row>
    <row r="26" spans="1:21" ht="21" customHeight="1" thickBot="1">
      <c r="B26" s="705"/>
      <c r="C26" s="648"/>
      <c r="D26" s="706"/>
      <c r="E26" s="627"/>
      <c r="F26" s="627"/>
      <c r="G26" s="627"/>
      <c r="H26" s="627"/>
      <c r="I26" s="627"/>
      <c r="J26" s="627"/>
      <c r="K26" s="627"/>
      <c r="L26" s="634"/>
    </row>
    <row r="27" spans="1:21" ht="21" customHeight="1" thickTop="1" thickBot="1">
      <c r="B27" s="1256"/>
      <c r="C27" s="1162"/>
      <c r="D27" s="1375" t="s">
        <v>3658</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438"/>
      <c r="C28" s="1164" t="s">
        <v>663</v>
      </c>
      <c r="D28" s="1439"/>
      <c r="E28" s="1146"/>
      <c r="F28" s="1146"/>
      <c r="G28" s="1146"/>
      <c r="H28" s="1146"/>
      <c r="I28" s="1146"/>
      <c r="J28" s="1146"/>
      <c r="K28" s="1369"/>
      <c r="L28" s="1369"/>
    </row>
    <row r="42" spans="11:12">
      <c r="K42" s="331" t="s">
        <v>3492</v>
      </c>
      <c r="L42" s="553">
        <f>K27+L27</f>
        <v>0</v>
      </c>
    </row>
  </sheetData>
  <sheetProtection algorithmName="SHA-512" hashValue="Y8iaQvR3LELZWmpJRzJ+By/nhZ3XoeVwg1BQIMeZySVbrvyVKRdF8DVv3bpnqMIWyEg22XKUqvg9aYOB2C6y1w==" saltValue="oaDCJfNzkHSRwJd02KFxFA==" spinCount="100000"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Sheet290">
    <tabColor theme="3" tint="0.79998168889431442"/>
  </sheetPr>
  <dimension ref="A1:U42"/>
  <sheetViews>
    <sheetView zoomScaleNormal="100" zoomScaleSheetLayoutView="80" workbookViewId="0">
      <selection activeCell="B1" sqref="B1"/>
    </sheetView>
  </sheetViews>
  <sheetFormatPr defaultColWidth="9.109375" defaultRowHeight="13.2"/>
  <cols>
    <col min="1" max="2" width="5.6640625" style="331" customWidth="1"/>
    <col min="3" max="3" width="4.88671875" style="331" customWidth="1"/>
    <col min="4" max="4" width="30.6640625" style="331" customWidth="1"/>
    <col min="5" max="12" width="15.6640625" style="331" customWidth="1"/>
    <col min="13" max="16384" width="9.109375" style="331"/>
  </cols>
  <sheetData>
    <row r="1" spans="2:21" ht="8.25" customHeight="1"/>
    <row r="2" spans="2:21" ht="20.399999999999999">
      <c r="B2" s="1788" t="str">
        <f>"SCHEDULE  OF  IMPROVEMENT  AUTHORIZATIONS  "&amp;UPPER('KEY INPUTS'!D57)&amp;"  (UTILITY  CAPITAL  FUND)"</f>
        <v>SCHEDULE  OF  IMPROVEMENT  AUTHORIZATIONS    (UTILITY  CAPITAL  FUND)</v>
      </c>
      <c r="C2" s="1788"/>
      <c r="D2" s="1788"/>
      <c r="E2" s="1788"/>
      <c r="F2" s="1788"/>
      <c r="G2" s="1788"/>
      <c r="H2" s="1788"/>
      <c r="I2" s="1788"/>
      <c r="J2" s="1788"/>
      <c r="K2" s="1788"/>
      <c r="L2" s="1788"/>
    </row>
    <row r="3" spans="2:21" ht="9.75" customHeight="1" thickBot="1">
      <c r="B3" s="1870"/>
      <c r="C3" s="1870"/>
      <c r="D3" s="1870"/>
      <c r="E3" s="1870"/>
      <c r="F3" s="1870"/>
      <c r="G3" s="1870"/>
      <c r="H3" s="1870"/>
      <c r="I3" s="1870"/>
      <c r="J3" s="1870"/>
      <c r="K3" s="1870"/>
      <c r="L3" s="1870"/>
    </row>
    <row r="4" spans="2:21" ht="13.5" customHeight="1" thickTop="1">
      <c r="B4" s="1943"/>
      <c r="C4" s="1943"/>
      <c r="D4" s="1944"/>
      <c r="E4" s="1896" t="str">
        <f>'KEY INPUTS'!D25</f>
        <v>Balance - January 1, 2019</v>
      </c>
      <c r="F4" s="1897"/>
      <c r="G4" s="1143"/>
      <c r="H4" s="1143"/>
      <c r="I4" s="1143"/>
      <c r="J4" s="1143"/>
      <c r="K4" s="1890" t="str">
        <f>'KEY INPUTS'!D26</f>
        <v>Balance - December 31, 2019</v>
      </c>
      <c r="L4" s="1891"/>
    </row>
    <row r="5" spans="2:21" ht="13.5" customHeight="1">
      <c r="B5" s="1787" t="s">
        <v>656</v>
      </c>
      <c r="C5" s="1787"/>
      <c r="D5" s="1871"/>
      <c r="E5" s="1898"/>
      <c r="F5" s="1899"/>
      <c r="G5" s="1151"/>
      <c r="H5" s="1151"/>
      <c r="I5" s="1151"/>
      <c r="J5" s="1151"/>
      <c r="K5" s="1892"/>
      <c r="L5" s="1893"/>
    </row>
    <row r="6" spans="2:21" ht="13.5" customHeight="1">
      <c r="B6" s="1787" t="s">
        <v>657</v>
      </c>
      <c r="C6" s="1787"/>
      <c r="D6" s="1871"/>
      <c r="E6" s="1900"/>
      <c r="F6" s="1901"/>
      <c r="G6" s="1151">
        <f>'KEY INPUTS'!D34</f>
        <v>2019</v>
      </c>
      <c r="H6" s="1151"/>
      <c r="I6" s="1151" t="s">
        <v>302</v>
      </c>
      <c r="J6" s="1151" t="s">
        <v>280</v>
      </c>
      <c r="K6" s="1894"/>
      <c r="L6" s="1895"/>
    </row>
    <row r="7" spans="2:21" ht="13.5" customHeight="1">
      <c r="B7" s="1787" t="s">
        <v>658</v>
      </c>
      <c r="C7" s="1787"/>
      <c r="D7" s="1871"/>
      <c r="E7" s="1147" t="s">
        <v>659</v>
      </c>
      <c r="F7" s="1147" t="s">
        <v>660</v>
      </c>
      <c r="G7" s="1147" t="s">
        <v>661</v>
      </c>
      <c r="H7" s="1147"/>
      <c r="I7" s="1147"/>
      <c r="J7" s="1147"/>
      <c r="K7" s="1147" t="s">
        <v>659</v>
      </c>
      <c r="L7" s="1149" t="s">
        <v>660</v>
      </c>
    </row>
    <row r="8" spans="2:21" ht="13.5" customHeight="1" thickBot="1">
      <c r="B8" s="1153"/>
      <c r="C8" s="1153"/>
      <c r="D8" s="1153"/>
      <c r="E8" s="1154"/>
      <c r="F8" s="1154"/>
      <c r="G8" s="1155"/>
      <c r="H8" s="1155"/>
      <c r="I8" s="1154"/>
      <c r="J8" s="1154"/>
      <c r="K8" s="1155"/>
      <c r="L8" s="1275"/>
      <c r="O8" s="322"/>
      <c r="P8" s="322"/>
      <c r="Q8" s="322"/>
      <c r="R8" s="322"/>
      <c r="S8" s="322"/>
      <c r="T8" s="322"/>
      <c r="U8" s="322"/>
    </row>
    <row r="9" spans="2:21" ht="21" customHeight="1" thickTop="1">
      <c r="B9" s="1210" t="s">
        <v>3546</v>
      </c>
      <c r="C9" s="1170"/>
      <c r="D9" s="1432"/>
      <c r="E9" s="1309">
        <f>+'52.3-Utility6'!E27</f>
        <v>0</v>
      </c>
      <c r="F9" s="1309">
        <f>+'52.3-Utility6'!F27</f>
        <v>0</v>
      </c>
      <c r="G9" s="1309">
        <f>+'52.3-Utility6'!G27</f>
        <v>0</v>
      </c>
      <c r="H9" s="1309">
        <f>+'52.3-Utility6'!H27</f>
        <v>0</v>
      </c>
      <c r="I9" s="1309">
        <f>+'52.3-Utility6'!I27</f>
        <v>0</v>
      </c>
      <c r="J9" s="1309">
        <f>+'52.3-Utility6'!J27</f>
        <v>0</v>
      </c>
      <c r="K9" s="1309">
        <f>+'52.3-Utility6'!K27</f>
        <v>0</v>
      </c>
      <c r="L9" s="1440">
        <f>+'52.3-Utility6'!L27</f>
        <v>0</v>
      </c>
      <c r="O9" s="322"/>
      <c r="P9" s="322"/>
      <c r="Q9" s="322"/>
      <c r="R9" s="322"/>
      <c r="S9" s="322"/>
      <c r="T9" s="322"/>
      <c r="U9" s="322"/>
    </row>
    <row r="10" spans="2:21" ht="21" customHeight="1">
      <c r="B10" s="1441"/>
      <c r="C10" s="1442"/>
      <c r="D10" s="1443"/>
      <c r="E10" s="1444"/>
      <c r="F10" s="1444"/>
      <c r="G10" s="1444"/>
      <c r="H10" s="1444"/>
      <c r="I10" s="1444"/>
      <c r="J10" s="1444"/>
      <c r="K10" s="1445"/>
      <c r="L10" s="1445"/>
      <c r="O10" s="377"/>
      <c r="P10" s="322"/>
      <c r="Q10" s="322"/>
      <c r="R10" s="322"/>
      <c r="S10" s="322"/>
      <c r="T10" s="322"/>
      <c r="U10" s="322"/>
    </row>
    <row r="11" spans="2:21" ht="21" customHeight="1">
      <c r="B11" s="1446"/>
      <c r="C11" s="1442"/>
      <c r="D11" s="1443"/>
      <c r="E11" s="1444"/>
      <c r="F11" s="1444"/>
      <c r="G11" s="1444"/>
      <c r="H11" s="1444"/>
      <c r="I11" s="1444"/>
      <c r="J11" s="1444"/>
      <c r="K11" s="1445"/>
      <c r="L11" s="1445"/>
      <c r="O11" s="322"/>
      <c r="P11" s="322"/>
      <c r="Q11" s="322"/>
      <c r="R11" s="322"/>
      <c r="S11" s="322"/>
      <c r="T11" s="322"/>
      <c r="U11" s="322"/>
    </row>
    <row r="12" spans="2:21" ht="21" customHeight="1">
      <c r="B12" s="1446"/>
      <c r="C12" s="1442"/>
      <c r="D12" s="1443"/>
      <c r="E12" s="1444"/>
      <c r="F12" s="1444"/>
      <c r="G12" s="1444"/>
      <c r="H12" s="1444"/>
      <c r="I12" s="1447"/>
      <c r="J12" s="1444"/>
      <c r="K12" s="1445"/>
      <c r="L12" s="1445"/>
      <c r="O12" s="322"/>
      <c r="P12" s="322"/>
      <c r="Q12" s="322"/>
      <c r="R12" s="322"/>
      <c r="S12" s="322"/>
      <c r="T12" s="322"/>
      <c r="U12" s="322"/>
    </row>
    <row r="13" spans="2:21" ht="21" customHeight="1">
      <c r="B13" s="1446"/>
      <c r="C13" s="1442"/>
      <c r="D13" s="1443"/>
      <c r="E13" s="1444"/>
      <c r="F13" s="1444"/>
      <c r="G13" s="1444"/>
      <c r="H13" s="1444"/>
      <c r="I13" s="1444"/>
      <c r="J13" s="1444"/>
      <c r="K13" s="1445"/>
      <c r="L13" s="1445"/>
      <c r="O13" s="322"/>
      <c r="P13" s="322"/>
      <c r="Q13" s="322"/>
      <c r="R13" s="322"/>
      <c r="S13" s="322"/>
      <c r="T13" s="322"/>
      <c r="U13" s="322"/>
    </row>
    <row r="14" spans="2:21" ht="21" customHeight="1">
      <c r="B14" s="1441"/>
      <c r="C14" s="1442"/>
      <c r="D14" s="1443"/>
      <c r="E14" s="1444"/>
      <c r="F14" s="1444"/>
      <c r="G14" s="1444"/>
      <c r="H14" s="1444"/>
      <c r="I14" s="1444"/>
      <c r="J14" s="1444"/>
      <c r="K14" s="1445"/>
      <c r="L14" s="1445"/>
      <c r="O14" s="322"/>
      <c r="P14" s="322"/>
      <c r="Q14" s="322"/>
      <c r="R14" s="322"/>
      <c r="S14" s="322"/>
      <c r="T14" s="322"/>
      <c r="U14" s="322"/>
    </row>
    <row r="15" spans="2:21" ht="21" customHeight="1">
      <c r="B15" s="1441"/>
      <c r="C15" s="1442"/>
      <c r="D15" s="1443"/>
      <c r="E15" s="1444"/>
      <c r="F15" s="1444"/>
      <c r="G15" s="1444"/>
      <c r="H15" s="1444"/>
      <c r="I15" s="1444"/>
      <c r="J15" s="1444"/>
      <c r="K15" s="1445"/>
      <c r="L15" s="1445"/>
      <c r="O15" s="322"/>
      <c r="P15" s="322"/>
      <c r="Q15" s="322"/>
      <c r="R15" s="322"/>
      <c r="S15" s="322"/>
      <c r="T15" s="322"/>
      <c r="U15" s="322"/>
    </row>
    <row r="16" spans="2:21" ht="21" customHeight="1">
      <c r="B16" s="1441"/>
      <c r="C16" s="1442"/>
      <c r="D16" s="1443"/>
      <c r="E16" s="1448"/>
      <c r="F16" s="1448"/>
      <c r="G16" s="1448"/>
      <c r="H16" s="1448"/>
      <c r="I16" s="1448"/>
      <c r="J16" s="1448"/>
      <c r="K16" s="1445"/>
      <c r="L16" s="1445"/>
      <c r="O16" s="322"/>
      <c r="P16" s="322"/>
      <c r="Q16" s="322"/>
      <c r="R16" s="322"/>
      <c r="S16" s="322"/>
      <c r="T16" s="322"/>
      <c r="U16" s="322"/>
    </row>
    <row r="17" spans="1:21" ht="21" customHeight="1">
      <c r="A17" s="1792" t="s">
        <v>3656</v>
      </c>
      <c r="B17" s="1441"/>
      <c r="C17" s="1442"/>
      <c r="D17" s="1443"/>
      <c r="E17" s="1444"/>
      <c r="F17" s="1444"/>
      <c r="G17" s="1444"/>
      <c r="H17" s="1444"/>
      <c r="I17" s="1444"/>
      <c r="J17" s="1444"/>
      <c r="K17" s="1445"/>
      <c r="L17" s="1445"/>
      <c r="O17" s="322"/>
      <c r="P17" s="322"/>
      <c r="Q17" s="322"/>
      <c r="R17" s="322"/>
      <c r="S17" s="322"/>
      <c r="T17" s="322"/>
      <c r="U17" s="322"/>
    </row>
    <row r="18" spans="1:21" ht="21" customHeight="1">
      <c r="A18" s="1792"/>
      <c r="B18" s="1441"/>
      <c r="C18" s="1442"/>
      <c r="D18" s="1443"/>
      <c r="E18" s="1444"/>
      <c r="F18" s="1444"/>
      <c r="G18" s="1444"/>
      <c r="H18" s="1444"/>
      <c r="I18" s="1444"/>
      <c r="J18" s="1444"/>
      <c r="K18" s="1445"/>
      <c r="L18" s="1445"/>
      <c r="O18" s="322"/>
      <c r="P18" s="322"/>
      <c r="Q18" s="322"/>
      <c r="R18" s="322"/>
      <c r="S18" s="322"/>
      <c r="T18" s="322"/>
      <c r="U18" s="322"/>
    </row>
    <row r="19" spans="1:21" ht="21" customHeight="1">
      <c r="A19" s="1792"/>
      <c r="B19" s="1441"/>
      <c r="C19" s="1442"/>
      <c r="D19" s="1443"/>
      <c r="E19" s="1444"/>
      <c r="F19" s="1444"/>
      <c r="G19" s="1444"/>
      <c r="H19" s="1444"/>
      <c r="I19" s="1444"/>
      <c r="J19" s="1444"/>
      <c r="K19" s="1445"/>
      <c r="L19" s="1445"/>
      <c r="O19" s="322"/>
      <c r="P19" s="322"/>
      <c r="Q19" s="322"/>
      <c r="R19" s="322"/>
      <c r="S19" s="322"/>
      <c r="T19" s="322"/>
      <c r="U19" s="322"/>
    </row>
    <row r="20" spans="1:21" ht="21" customHeight="1">
      <c r="A20" s="545"/>
      <c r="B20" s="1441"/>
      <c r="C20" s="1442"/>
      <c r="D20" s="1443"/>
      <c r="E20" s="1444"/>
      <c r="F20" s="1444"/>
      <c r="G20" s="1444"/>
      <c r="H20" s="1444"/>
      <c r="I20" s="1444"/>
      <c r="J20" s="1444"/>
      <c r="K20" s="1445"/>
      <c r="L20" s="1445"/>
      <c r="O20" s="322"/>
      <c r="P20" s="322"/>
      <c r="Q20" s="322"/>
      <c r="R20" s="322"/>
      <c r="S20" s="322"/>
      <c r="T20" s="322"/>
      <c r="U20" s="322"/>
    </row>
    <row r="21" spans="1:21" ht="21" customHeight="1">
      <c r="A21" s="545"/>
      <c r="B21" s="1441"/>
      <c r="C21" s="1442"/>
      <c r="D21" s="1443"/>
      <c r="E21" s="1444"/>
      <c r="F21" s="1444"/>
      <c r="G21" s="1444"/>
      <c r="H21" s="1444"/>
      <c r="I21" s="1444"/>
      <c r="J21" s="1444"/>
      <c r="K21" s="1445"/>
      <c r="L21" s="1445"/>
      <c r="O21" s="322"/>
      <c r="P21" s="322"/>
      <c r="Q21" s="322"/>
      <c r="R21" s="322"/>
      <c r="S21" s="322"/>
      <c r="T21" s="322"/>
      <c r="U21" s="322"/>
    </row>
    <row r="22" spans="1:21" ht="21" customHeight="1">
      <c r="A22" s="545"/>
      <c r="B22" s="1441"/>
      <c r="C22" s="1442"/>
      <c r="D22" s="1443"/>
      <c r="E22" s="1444"/>
      <c r="F22" s="1444"/>
      <c r="G22" s="1444"/>
      <c r="H22" s="1444"/>
      <c r="I22" s="1444"/>
      <c r="J22" s="1444"/>
      <c r="K22" s="1445"/>
      <c r="L22" s="1445"/>
      <c r="O22" s="322"/>
      <c r="P22" s="322"/>
      <c r="Q22" s="322"/>
      <c r="R22" s="322"/>
      <c r="S22" s="322"/>
      <c r="T22" s="322"/>
      <c r="U22" s="322"/>
    </row>
    <row r="23" spans="1:21" ht="21" customHeight="1">
      <c r="B23" s="1441"/>
      <c r="C23" s="1442"/>
      <c r="D23" s="1443"/>
      <c r="E23" s="1444"/>
      <c r="F23" s="1444"/>
      <c r="G23" s="1444"/>
      <c r="H23" s="1444"/>
      <c r="I23" s="1444"/>
      <c r="J23" s="1444"/>
      <c r="K23" s="1445"/>
      <c r="L23" s="1445"/>
      <c r="O23" s="322"/>
      <c r="P23" s="322"/>
      <c r="Q23" s="322"/>
      <c r="R23" s="322"/>
      <c r="S23" s="322"/>
      <c r="T23" s="322"/>
      <c r="U23" s="322"/>
    </row>
    <row r="24" spans="1:21" ht="21" customHeight="1">
      <c r="B24" s="1441"/>
      <c r="C24" s="1442"/>
      <c r="D24" s="1443"/>
      <c r="E24" s="1444"/>
      <c r="F24" s="1444"/>
      <c r="G24" s="1444"/>
      <c r="H24" s="1444"/>
      <c r="I24" s="1444"/>
      <c r="J24" s="1444"/>
      <c r="K24" s="1445"/>
      <c r="L24" s="1445"/>
      <c r="O24" s="322"/>
      <c r="P24" s="322"/>
      <c r="Q24" s="322"/>
      <c r="R24" s="322"/>
      <c r="S24" s="322"/>
      <c r="T24" s="322"/>
      <c r="U24" s="322"/>
    </row>
    <row r="25" spans="1:21" ht="21" customHeight="1">
      <c r="B25" s="1441"/>
      <c r="C25" s="1442"/>
      <c r="D25" s="1443"/>
      <c r="E25" s="1444"/>
      <c r="F25" s="1444"/>
      <c r="G25" s="1444"/>
      <c r="H25" s="1444"/>
      <c r="I25" s="1444"/>
      <c r="J25" s="1444"/>
      <c r="K25" s="1445"/>
      <c r="L25" s="1445"/>
    </row>
    <row r="26" spans="1:21" ht="21" customHeight="1" thickBot="1">
      <c r="B26" s="1441"/>
      <c r="C26" s="1442"/>
      <c r="D26" s="1449"/>
      <c r="E26" s="1450"/>
      <c r="F26" s="1450"/>
      <c r="G26" s="1450"/>
      <c r="H26" s="1450"/>
      <c r="I26" s="1450"/>
      <c r="J26" s="1450"/>
      <c r="K26" s="1450"/>
      <c r="L26" s="1451"/>
    </row>
    <row r="27" spans="1:21" ht="21" customHeight="1" thickTop="1" thickBot="1">
      <c r="B27" s="1256"/>
      <c r="C27" s="1162"/>
      <c r="D27" s="1375" t="s">
        <v>3659</v>
      </c>
      <c r="E27" s="1083">
        <f t="shared" ref="E27:L27" si="0">SUM(E9:E26)</f>
        <v>0</v>
      </c>
      <c r="F27" s="1083">
        <f t="shared" si="0"/>
        <v>0</v>
      </c>
      <c r="G27" s="1083">
        <f t="shared" si="0"/>
        <v>0</v>
      </c>
      <c r="H27" s="1083">
        <f t="shared" si="0"/>
        <v>0</v>
      </c>
      <c r="I27" s="1083">
        <f t="shared" si="0"/>
        <v>0</v>
      </c>
      <c r="J27" s="1083">
        <f t="shared" si="0"/>
        <v>0</v>
      </c>
      <c r="K27" s="1083">
        <f t="shared" si="0"/>
        <v>0</v>
      </c>
      <c r="L27" s="1161">
        <f t="shared" si="0"/>
        <v>0</v>
      </c>
    </row>
    <row r="28" spans="1:21" ht="13.5" customHeight="1" thickTop="1">
      <c r="B28" s="1438"/>
      <c r="C28" s="1164" t="s">
        <v>663</v>
      </c>
      <c r="D28" s="1439"/>
      <c r="E28" s="1146"/>
      <c r="F28" s="1146"/>
      <c r="G28" s="1146"/>
      <c r="H28" s="1146"/>
      <c r="I28" s="1146"/>
      <c r="J28" s="1146"/>
      <c r="K28" s="1369"/>
      <c r="L28" s="1369"/>
    </row>
    <row r="42" spans="11:12">
      <c r="K42" s="331" t="s">
        <v>3492</v>
      </c>
      <c r="L42" s="553">
        <f>K27+L27</f>
        <v>0</v>
      </c>
    </row>
  </sheetData>
  <sheetProtection algorithmName="SHA-512" hashValue="WipHVGxNUc2C3D1eySEuFTS05V65+FA0rt8VrNLJixQIBHarfU0NEVPKe8i9ch1zP4+srzqq7xeqRTNrPNHQsQ==" saltValue="1m3U5JpBvTN9s+zrAsqMTA=="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9">
    <mergeCell ref="B7:D7"/>
    <mergeCell ref="A17:A19"/>
    <mergeCell ref="B2:L2"/>
    <mergeCell ref="B3:L3"/>
    <mergeCell ref="B4:D4"/>
    <mergeCell ref="E4:F6"/>
    <mergeCell ref="K4:L6"/>
    <mergeCell ref="B5:D5"/>
    <mergeCell ref="B6:D6"/>
  </mergeCells>
  <pageMargins left="0.25" right="0.25" top="0.5" bottom="0.5" header="0.25" footer="0.25"/>
  <pageSetup paperSize="5" orientation="landscape" r:id="rId5"/>
  <headerFooter alignWithMargins="0"/>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Sheet291">
    <tabColor theme="3" tint="0.79998168889431442"/>
  </sheetPr>
  <dimension ref="B3:S54"/>
  <sheetViews>
    <sheetView zoomScaleNormal="100" zoomScaleSheetLayoutView="80" workbookViewId="0">
      <selection activeCell="B1" sqref="B1"/>
    </sheetView>
  </sheetViews>
  <sheetFormatPr defaultColWidth="9.109375" defaultRowHeight="13.2"/>
  <cols>
    <col min="1" max="3" width="4.6640625" style="331" customWidth="1"/>
    <col min="4" max="4" width="4.5546875" style="331" customWidth="1"/>
    <col min="5" max="6" width="9.109375" style="331"/>
    <col min="7" max="7" width="14.44140625" style="331" customWidth="1"/>
    <col min="8" max="8" width="15" style="331" customWidth="1"/>
    <col min="9" max="10" width="16.6640625" style="331" customWidth="1"/>
    <col min="11" max="16384" width="9.109375" style="331"/>
  </cols>
  <sheetData>
    <row r="3" spans="2:19" ht="22.8">
      <c r="B3" s="1759" t="str">
        <f>UPPER('KEY INPUTS'!D$57)&amp;" UTILITY  CAPITAL  FUND"</f>
        <v xml:space="preserve"> UTILITY  CAPITAL  FUND</v>
      </c>
      <c r="C3" s="1759"/>
      <c r="D3" s="1759"/>
      <c r="E3" s="1759"/>
      <c r="F3" s="1759"/>
      <c r="G3" s="1759"/>
      <c r="H3" s="1759"/>
      <c r="I3" s="1759"/>
      <c r="J3" s="1759"/>
    </row>
    <row r="4" spans="2:19">
      <c r="B4" s="1146"/>
      <c r="C4" s="1146"/>
      <c r="D4" s="1146"/>
      <c r="E4" s="1146"/>
      <c r="F4" s="1146"/>
      <c r="G4" s="1146"/>
      <c r="H4" s="1146"/>
      <c r="I4" s="1146"/>
      <c r="J4" s="1146"/>
    </row>
    <row r="5" spans="2:19" ht="15.6">
      <c r="B5" s="1783" t="s">
        <v>667</v>
      </c>
      <c r="C5" s="1783"/>
      <c r="D5" s="1783"/>
      <c r="E5" s="1783"/>
      <c r="F5" s="1783"/>
      <c r="G5" s="1783"/>
      <c r="H5" s="1783"/>
      <c r="I5" s="1783"/>
      <c r="J5" s="1783"/>
    </row>
    <row r="6" spans="2:19" ht="13.8" thickBot="1">
      <c r="B6" s="1146"/>
      <c r="C6" s="1146"/>
      <c r="D6" s="1146"/>
      <c r="E6" s="1146"/>
      <c r="F6" s="1146"/>
      <c r="G6" s="1146"/>
      <c r="H6" s="1146"/>
      <c r="I6" s="1146"/>
      <c r="J6" s="1146"/>
    </row>
    <row r="7" spans="2:19" ht="28.5" customHeight="1" thickTop="1" thickBot="1">
      <c r="B7" s="1388"/>
      <c r="C7" s="1388"/>
      <c r="D7" s="1388"/>
      <c r="E7" s="1388"/>
      <c r="F7" s="1388"/>
      <c r="G7" s="1388"/>
      <c r="H7" s="1388"/>
      <c r="I7" s="1134" t="s">
        <v>125</v>
      </c>
      <c r="J7" s="1135" t="s">
        <v>126</v>
      </c>
    </row>
    <row r="8" spans="2:19" ht="21" customHeight="1" thickTop="1">
      <c r="B8" s="1158" t="str">
        <f>'KEY INPUTS'!D25</f>
        <v>Balance - January 1, 2019</v>
      </c>
      <c r="C8" s="1158"/>
      <c r="D8" s="1158"/>
      <c r="E8" s="1158"/>
      <c r="F8" s="1158"/>
      <c r="G8" s="1158"/>
      <c r="H8" s="1400"/>
      <c r="I8" s="1088" t="s">
        <v>787</v>
      </c>
      <c r="J8" s="639"/>
    </row>
    <row r="9" spans="2:19" ht="21" customHeight="1">
      <c r="B9" s="1139" t="str">
        <f>"Received from "&amp;'KEY INPUTS'!D34&amp;" Budget Appropriation"</f>
        <v>Received from 2019 Budget Appropriation</v>
      </c>
      <c r="C9" s="1139"/>
      <c r="D9" s="1139"/>
      <c r="E9" s="1139"/>
      <c r="F9" s="1139"/>
      <c r="G9" s="1139"/>
      <c r="H9" s="1401"/>
      <c r="I9" s="973" t="s">
        <v>787</v>
      </c>
      <c r="J9" s="609"/>
      <c r="M9" s="322"/>
      <c r="N9" s="322"/>
      <c r="O9" s="322"/>
      <c r="P9" s="322"/>
      <c r="Q9" s="322"/>
      <c r="R9" s="322"/>
      <c r="S9" s="322"/>
    </row>
    <row r="10" spans="2:19" ht="21" customHeight="1">
      <c r="B10" s="648"/>
      <c r="C10" s="648"/>
      <c r="D10" s="648"/>
      <c r="E10" s="648"/>
      <c r="F10" s="648"/>
      <c r="G10" s="648"/>
      <c r="H10" s="648"/>
      <c r="I10" s="973" t="s">
        <v>787</v>
      </c>
      <c r="J10" s="609"/>
      <c r="M10" s="322"/>
      <c r="N10" s="322"/>
      <c r="O10" s="322"/>
      <c r="P10" s="322"/>
      <c r="Q10" s="322"/>
      <c r="R10" s="322"/>
      <c r="S10" s="322"/>
    </row>
    <row r="11" spans="2:19" ht="11.25" customHeight="1">
      <c r="B11" s="1402" t="s">
        <v>224</v>
      </c>
      <c r="C11" s="1403"/>
      <c r="D11" s="1403"/>
      <c r="E11" s="1403"/>
      <c r="F11" s="1403"/>
      <c r="G11" s="1403"/>
      <c r="H11" s="1404"/>
      <c r="I11" s="1906" t="s">
        <v>787</v>
      </c>
      <c r="J11" s="1904"/>
      <c r="M11" s="377"/>
      <c r="N11" s="322"/>
      <c r="O11" s="322"/>
      <c r="P11" s="322"/>
      <c r="Q11" s="322"/>
      <c r="R11" s="322"/>
      <c r="S11" s="322"/>
    </row>
    <row r="12" spans="2:19" ht="12.75" customHeight="1">
      <c r="B12" s="1391"/>
      <c r="C12" s="1405" t="s">
        <v>225</v>
      </c>
      <c r="D12" s="1391"/>
      <c r="E12" s="1391"/>
      <c r="F12" s="1391"/>
      <c r="G12" s="1391"/>
      <c r="H12" s="1406"/>
      <c r="I12" s="1907"/>
      <c r="J12" s="1905"/>
      <c r="M12" s="322"/>
      <c r="N12" s="322"/>
      <c r="O12" s="322"/>
      <c r="P12" s="322"/>
      <c r="Q12" s="322"/>
      <c r="R12" s="322"/>
      <c r="S12" s="322"/>
    </row>
    <row r="13" spans="2:19" ht="21" customHeight="1">
      <c r="B13" s="668"/>
      <c r="C13" s="1282"/>
      <c r="D13" s="668"/>
      <c r="E13" s="668"/>
      <c r="F13" s="668"/>
      <c r="G13" s="668"/>
      <c r="H13" s="668"/>
      <c r="I13" s="683"/>
      <c r="J13" s="376"/>
      <c r="M13" s="322"/>
      <c r="N13" s="322"/>
      <c r="O13" s="322"/>
      <c r="P13" s="322"/>
      <c r="Q13" s="322"/>
      <c r="R13" s="322"/>
      <c r="S13" s="322"/>
    </row>
    <row r="14" spans="2:19" ht="21" customHeight="1">
      <c r="B14" s="1139" t="s">
        <v>226</v>
      </c>
      <c r="C14" s="1139"/>
      <c r="D14" s="1139"/>
      <c r="E14" s="1139"/>
      <c r="F14" s="1139"/>
      <c r="G14" s="1139"/>
      <c r="H14" s="1139"/>
      <c r="I14" s="973" t="s">
        <v>787</v>
      </c>
      <c r="J14" s="977" t="s">
        <v>787</v>
      </c>
      <c r="M14" s="322"/>
      <c r="N14" s="322"/>
      <c r="O14" s="322"/>
      <c r="P14" s="322"/>
      <c r="Q14" s="322"/>
      <c r="R14" s="322"/>
      <c r="S14" s="322"/>
    </row>
    <row r="15" spans="2:19" ht="21" customHeight="1">
      <c r="B15" s="648"/>
      <c r="C15" s="648"/>
      <c r="D15" s="648"/>
      <c r="E15" s="648"/>
      <c r="F15" s="648"/>
      <c r="G15" s="648"/>
      <c r="H15" s="648"/>
      <c r="I15" s="601"/>
      <c r="J15" s="977" t="s">
        <v>787</v>
      </c>
      <c r="M15" s="322"/>
      <c r="N15" s="322"/>
      <c r="O15" s="322"/>
      <c r="P15" s="322"/>
      <c r="Q15" s="322"/>
      <c r="R15" s="322"/>
      <c r="S15" s="322"/>
    </row>
    <row r="16" spans="2:19" ht="21" customHeight="1">
      <c r="B16" s="648"/>
      <c r="C16" s="648"/>
      <c r="D16" s="648"/>
      <c r="E16" s="648"/>
      <c r="F16" s="648"/>
      <c r="G16" s="648"/>
      <c r="H16" s="648"/>
      <c r="I16" s="601"/>
      <c r="J16" s="977" t="s">
        <v>787</v>
      </c>
      <c r="M16" s="322"/>
      <c r="N16" s="322"/>
      <c r="O16" s="322"/>
      <c r="P16" s="322"/>
      <c r="Q16" s="322"/>
      <c r="R16" s="322"/>
      <c r="S16" s="322"/>
    </row>
    <row r="17" spans="2:19" ht="21" customHeight="1">
      <c r="B17" s="648"/>
      <c r="C17" s="648"/>
      <c r="D17" s="648"/>
      <c r="E17" s="648"/>
      <c r="F17" s="648"/>
      <c r="G17" s="648"/>
      <c r="H17" s="648"/>
      <c r="I17" s="601"/>
      <c r="J17" s="977" t="s">
        <v>787</v>
      </c>
      <c r="M17" s="322"/>
      <c r="N17" s="322"/>
      <c r="O17" s="322"/>
      <c r="P17" s="322"/>
      <c r="Q17" s="322"/>
      <c r="R17" s="322"/>
      <c r="S17" s="322"/>
    </row>
    <row r="18" spans="2:19" ht="21" customHeight="1">
      <c r="B18" s="648"/>
      <c r="C18" s="648"/>
      <c r="D18" s="648"/>
      <c r="E18" s="648"/>
      <c r="F18" s="648"/>
      <c r="G18" s="648"/>
      <c r="H18" s="648"/>
      <c r="I18" s="601"/>
      <c r="J18" s="977" t="s">
        <v>787</v>
      </c>
      <c r="M18" s="322"/>
      <c r="N18" s="322"/>
      <c r="O18" s="322"/>
      <c r="P18" s="322"/>
      <c r="Q18" s="322"/>
      <c r="R18" s="322"/>
      <c r="S18" s="322"/>
    </row>
    <row r="19" spans="2:19" ht="21" customHeight="1">
      <c r="B19" s="648"/>
      <c r="C19" s="648"/>
      <c r="D19" s="648"/>
      <c r="E19" s="648"/>
      <c r="F19" s="648"/>
      <c r="G19" s="648"/>
      <c r="H19" s="648"/>
      <c r="I19" s="601"/>
      <c r="J19" s="977" t="s">
        <v>787</v>
      </c>
      <c r="M19" s="322"/>
      <c r="N19" s="322"/>
      <c r="O19" s="322"/>
      <c r="P19" s="322"/>
      <c r="Q19" s="322"/>
      <c r="R19" s="322"/>
      <c r="S19" s="322"/>
    </row>
    <row r="20" spans="2:19" ht="21" customHeight="1">
      <c r="B20" s="648"/>
      <c r="C20" s="648"/>
      <c r="D20" s="648"/>
      <c r="E20" s="648"/>
      <c r="F20" s="648"/>
      <c r="G20" s="648"/>
      <c r="H20" s="648"/>
      <c r="I20" s="601"/>
      <c r="J20" s="977" t="s">
        <v>787</v>
      </c>
      <c r="M20" s="322"/>
      <c r="N20" s="322"/>
      <c r="O20" s="322"/>
      <c r="P20" s="322"/>
      <c r="Q20" s="322"/>
      <c r="R20" s="322"/>
      <c r="S20" s="322"/>
    </row>
    <row r="21" spans="2:19" ht="21" customHeight="1">
      <c r="B21" s="648"/>
      <c r="C21" s="648"/>
      <c r="D21" s="648"/>
      <c r="E21" s="648"/>
      <c r="F21" s="648"/>
      <c r="G21" s="648"/>
      <c r="H21" s="648"/>
      <c r="I21" s="601"/>
      <c r="J21" s="977" t="s">
        <v>787</v>
      </c>
      <c r="M21" s="322"/>
      <c r="N21" s="322"/>
      <c r="O21" s="322"/>
      <c r="P21" s="322"/>
      <c r="Q21" s="322"/>
      <c r="R21" s="322"/>
      <c r="S21" s="322"/>
    </row>
    <row r="22" spans="2:19" ht="21" customHeight="1">
      <c r="B22" s="1139" t="s">
        <v>229</v>
      </c>
      <c r="C22" s="1139"/>
      <c r="D22" s="1139"/>
      <c r="E22" s="1139"/>
      <c r="F22" s="1139"/>
      <c r="G22" s="1139"/>
      <c r="H22" s="1401"/>
      <c r="I22" s="601"/>
      <c r="J22" s="977" t="s">
        <v>787</v>
      </c>
      <c r="M22" s="322"/>
      <c r="N22" s="322"/>
      <c r="O22" s="322"/>
      <c r="P22" s="322"/>
      <c r="Q22" s="322"/>
      <c r="R22" s="322"/>
      <c r="S22" s="322"/>
    </row>
    <row r="23" spans="2:19" ht="21" customHeight="1">
      <c r="B23" s="648"/>
      <c r="C23" s="648"/>
      <c r="D23" s="648"/>
      <c r="E23" s="648"/>
      <c r="F23" s="648"/>
      <c r="G23" s="648"/>
      <c r="H23" s="648"/>
      <c r="I23" s="601"/>
      <c r="J23" s="977" t="s">
        <v>787</v>
      </c>
      <c r="M23" s="322"/>
      <c r="N23" s="322"/>
      <c r="O23" s="322"/>
      <c r="P23" s="322"/>
      <c r="Q23" s="322"/>
      <c r="R23" s="322"/>
      <c r="S23" s="322"/>
    </row>
    <row r="24" spans="2:19" ht="21" customHeight="1" thickBot="1">
      <c r="B24" s="1139" t="str">
        <f>'KEY INPUTS'!D26</f>
        <v>Balance - December 31, 2019</v>
      </c>
      <c r="C24" s="1139"/>
      <c r="D24" s="1139"/>
      <c r="E24" s="1139"/>
      <c r="F24" s="1139"/>
      <c r="G24" s="1139"/>
      <c r="H24" s="1401"/>
      <c r="I24" s="1106">
        <f>+SUM(J8:J13)-SUM(I13:I23)</f>
        <v>0</v>
      </c>
      <c r="J24" s="1104" t="s">
        <v>787</v>
      </c>
      <c r="M24" s="322"/>
      <c r="N24" s="322"/>
      <c r="O24" s="322"/>
      <c r="P24" s="322"/>
      <c r="Q24" s="322"/>
      <c r="R24" s="322"/>
      <c r="S24" s="322"/>
    </row>
    <row r="25" spans="2:19" ht="21" customHeight="1" thickTop="1" thickBot="1">
      <c r="B25" s="1146"/>
      <c r="C25" s="1146"/>
      <c r="D25" s="1146"/>
      <c r="E25" s="1146"/>
      <c r="F25" s="1146"/>
      <c r="G25" s="1146"/>
      <c r="H25" s="1146"/>
      <c r="I25" s="1061">
        <f>SUM(I8:I24)</f>
        <v>0</v>
      </c>
      <c r="J25" s="1107">
        <f>SUM(J8:J24)</f>
        <v>0</v>
      </c>
      <c r="M25" s="322"/>
      <c r="N25" s="322"/>
      <c r="O25" s="322"/>
      <c r="P25" s="322"/>
      <c r="Q25" s="322"/>
      <c r="R25" s="322"/>
      <c r="S25" s="322"/>
    </row>
    <row r="26" spans="2:19" ht="13.8" thickTop="1"/>
    <row r="27" spans="2:19">
      <c r="B27" s="1146"/>
      <c r="C27" s="1146"/>
      <c r="D27" s="1146"/>
      <c r="E27" s="1146"/>
      <c r="F27" s="1146"/>
      <c r="G27" s="1146"/>
      <c r="H27" s="1146"/>
      <c r="I27" s="1146"/>
      <c r="J27" s="1146"/>
    </row>
    <row r="28" spans="2:19">
      <c r="B28" s="1146"/>
      <c r="C28" s="1146"/>
      <c r="D28" s="1146"/>
      <c r="E28" s="1146"/>
      <c r="F28" s="1146"/>
      <c r="G28" s="1146"/>
      <c r="H28" s="1146"/>
      <c r="I28" s="1146"/>
      <c r="J28" s="1146"/>
    </row>
    <row r="29" spans="2:19">
      <c r="B29" s="1146"/>
      <c r="C29" s="1146"/>
      <c r="D29" s="1146"/>
      <c r="E29" s="1146"/>
      <c r="F29" s="1146"/>
      <c r="G29" s="1146"/>
      <c r="H29" s="1146"/>
      <c r="I29" s="1146"/>
      <c r="J29" s="1146"/>
    </row>
    <row r="30" spans="2:19" ht="22.8">
      <c r="B30" s="1759" t="str">
        <f>UPPER('KEY INPUTS'!D$57)&amp;" UTILITY  CAPITAL  FUND"</f>
        <v xml:space="preserve"> UTILITY  CAPITAL  FUND</v>
      </c>
      <c r="C30" s="1759"/>
      <c r="D30" s="1759"/>
      <c r="E30" s="1759"/>
      <c r="F30" s="1759"/>
      <c r="G30" s="1759"/>
      <c r="H30" s="1759"/>
      <c r="I30" s="1759"/>
      <c r="J30" s="1759"/>
    </row>
    <row r="31" spans="2:19" ht="7.5" customHeight="1">
      <c r="B31" s="1146"/>
      <c r="C31" s="1146"/>
      <c r="D31" s="1146"/>
      <c r="E31" s="1146"/>
      <c r="F31" s="1146"/>
      <c r="G31" s="1146"/>
      <c r="H31" s="1146"/>
      <c r="I31" s="1146"/>
      <c r="J31" s="1146"/>
    </row>
    <row r="32" spans="2:19" ht="15.6">
      <c r="B32" s="1783" t="s">
        <v>234</v>
      </c>
      <c r="C32" s="1783"/>
      <c r="D32" s="1783"/>
      <c r="E32" s="1783"/>
      <c r="F32" s="1783"/>
      <c r="G32" s="1783"/>
      <c r="H32" s="1783"/>
      <c r="I32" s="1783"/>
      <c r="J32" s="1783"/>
    </row>
    <row r="33" spans="2:10" ht="13.8" thickBot="1">
      <c r="B33" s="1146"/>
      <c r="C33" s="1146"/>
      <c r="D33" s="1146"/>
      <c r="E33" s="1146"/>
      <c r="F33" s="1146"/>
      <c r="G33" s="1146"/>
      <c r="H33" s="1146"/>
      <c r="I33" s="1146"/>
      <c r="J33" s="1146"/>
    </row>
    <row r="34" spans="2:10" ht="26.25" customHeight="1" thickTop="1" thickBot="1">
      <c r="B34" s="1388"/>
      <c r="C34" s="1388"/>
      <c r="D34" s="1388"/>
      <c r="E34" s="1388"/>
      <c r="F34" s="1388"/>
      <c r="G34" s="1388"/>
      <c r="H34" s="1388"/>
      <c r="I34" s="1134" t="s">
        <v>125</v>
      </c>
      <c r="J34" s="1135" t="s">
        <v>126</v>
      </c>
    </row>
    <row r="35" spans="2:10" ht="21" customHeight="1" thickTop="1">
      <c r="B35" s="1158" t="str">
        <f>'KEY INPUTS'!D25</f>
        <v>Balance - January 1, 2019</v>
      </c>
      <c r="C35" s="1158"/>
      <c r="D35" s="1158"/>
      <c r="E35" s="1158"/>
      <c r="F35" s="1158"/>
      <c r="G35" s="1158"/>
      <c r="H35" s="1400"/>
      <c r="I35" s="1088" t="s">
        <v>787</v>
      </c>
      <c r="J35" s="639"/>
    </row>
    <row r="36" spans="2:10" ht="21" customHeight="1">
      <c r="B36" s="1139" t="str">
        <f>"Received from "&amp;TEXT('KEY INPUTS'!D34,"0")&amp;" Budget Appropriation *"</f>
        <v>Received from 2019 Budget Appropriation *</v>
      </c>
      <c r="C36" s="1139"/>
      <c r="D36" s="1139"/>
      <c r="E36" s="1139"/>
      <c r="F36" s="1139"/>
      <c r="G36" s="1139"/>
      <c r="H36" s="1401"/>
      <c r="I36" s="973" t="s">
        <v>787</v>
      </c>
      <c r="J36" s="609"/>
    </row>
    <row r="37" spans="2:10" ht="21" customHeight="1">
      <c r="B37" s="1139" t="str">
        <f>"Received from "&amp;TEXT('KEY INPUTS'!D34,"0")&amp;" Emergency Appropriation *"</f>
        <v>Received from 2019 Emergency Appropriation *</v>
      </c>
      <c r="C37" s="1139"/>
      <c r="D37" s="1139"/>
      <c r="E37" s="1139"/>
      <c r="F37" s="1139"/>
      <c r="G37" s="1139"/>
      <c r="H37" s="1401"/>
      <c r="I37" s="973" t="s">
        <v>787</v>
      </c>
      <c r="J37" s="609"/>
    </row>
    <row r="38" spans="2:10" ht="21" customHeight="1">
      <c r="B38" s="668"/>
      <c r="C38" s="1282"/>
      <c r="D38" s="668"/>
      <c r="E38" s="1391"/>
      <c r="F38" s="1391"/>
      <c r="G38" s="1391"/>
      <c r="H38" s="1391"/>
      <c r="I38" s="683"/>
      <c r="J38" s="376"/>
    </row>
    <row r="39" spans="2:10" ht="21" customHeight="1">
      <c r="B39" s="1139" t="s">
        <v>229</v>
      </c>
      <c r="C39" s="1139"/>
      <c r="D39" s="1139"/>
      <c r="E39" s="1139"/>
      <c r="F39" s="1139"/>
      <c r="G39" s="1139"/>
      <c r="H39" s="1401"/>
      <c r="I39" s="601"/>
      <c r="J39" s="977" t="s">
        <v>787</v>
      </c>
    </row>
    <row r="40" spans="2:10" ht="21" customHeight="1">
      <c r="B40" s="648"/>
      <c r="C40" s="648"/>
      <c r="D40" s="648"/>
      <c r="E40" s="1139"/>
      <c r="F40" s="1139"/>
      <c r="G40" s="1139"/>
      <c r="H40" s="1139"/>
      <c r="I40" s="601"/>
      <c r="J40" s="977" t="s">
        <v>787</v>
      </c>
    </row>
    <row r="41" spans="2:10" ht="21" customHeight="1" thickBot="1">
      <c r="B41" s="1139" t="str">
        <f>'KEY INPUTS'!D26</f>
        <v>Balance - December 31, 2019</v>
      </c>
      <c r="C41" s="1139"/>
      <c r="D41" s="1139"/>
      <c r="E41" s="1139"/>
      <c r="F41" s="1139"/>
      <c r="G41" s="1139"/>
      <c r="H41" s="1401"/>
      <c r="I41" s="1283">
        <f>SUM(J35:J38)-SUM(I38:I40)</f>
        <v>0</v>
      </c>
      <c r="J41" s="1104" t="s">
        <v>787</v>
      </c>
    </row>
    <row r="42" spans="2:10" ht="21" customHeight="1" thickTop="1" thickBot="1">
      <c r="B42" s="1146"/>
      <c r="C42" s="1146"/>
      <c r="D42" s="1146"/>
      <c r="E42" s="1146"/>
      <c r="F42" s="1146"/>
      <c r="G42" s="1146"/>
      <c r="H42" s="1146"/>
      <c r="I42" s="1061">
        <f>SUM(I35:I41)</f>
        <v>0</v>
      </c>
      <c r="J42" s="1107">
        <f>SUM(J35:J41)</f>
        <v>0</v>
      </c>
    </row>
    <row r="43" spans="2:10" ht="21" customHeight="1" thickTop="1">
      <c r="B43" s="1146"/>
      <c r="C43" s="1146"/>
      <c r="D43" s="1146"/>
      <c r="E43" s="1146"/>
      <c r="F43" s="1146"/>
      <c r="G43" s="1146"/>
      <c r="H43" s="1146"/>
      <c r="I43" s="1452"/>
      <c r="J43" s="1452"/>
    </row>
    <row r="44" spans="2:10" ht="21" customHeight="1">
      <c r="B44" s="1146"/>
      <c r="C44" s="1146"/>
      <c r="D44" s="1146"/>
      <c r="E44" s="1146"/>
      <c r="F44" s="1146"/>
      <c r="G44" s="1146"/>
      <c r="H44" s="1146"/>
      <c r="I44" s="1146"/>
      <c r="J44" s="1146"/>
    </row>
    <row r="45" spans="2:10" ht="13.5" customHeight="1">
      <c r="B45" s="1422" t="str">
        <f>"*The full amount of the "&amp;TEXT('KEY INPUTS'!D34,"0")&amp;"  budget appropriation should be transferred to this account unless the balance of the"</f>
        <v>*The full amount of the 2019  budget appropriation should be transferred to this account unless the balance of the</v>
      </c>
      <c r="C45" s="1422"/>
      <c r="D45" s="1146"/>
      <c r="E45" s="1146"/>
      <c r="F45" s="1146"/>
      <c r="G45" s="1146"/>
      <c r="H45" s="1146"/>
      <c r="I45" s="1146"/>
      <c r="J45" s="1146"/>
    </row>
    <row r="46" spans="2:10" ht="13.5" customHeight="1">
      <c r="B46" s="554"/>
      <c r="C46" s="554" t="s">
        <v>233</v>
      </c>
    </row>
    <row r="47" spans="2:10" ht="13.5" customHeight="1">
      <c r="B47" s="554"/>
      <c r="C47" s="554"/>
    </row>
    <row r="48" spans="2:10" ht="13.5" customHeight="1">
      <c r="B48" s="554"/>
      <c r="C48" s="554"/>
    </row>
    <row r="49" spans="2:10" ht="13.5" customHeight="1">
      <c r="B49" s="554"/>
      <c r="C49" s="554"/>
    </row>
    <row r="50" spans="2:10" ht="13.5" customHeight="1">
      <c r="B50" s="554"/>
      <c r="C50" s="554"/>
    </row>
    <row r="51" spans="2:10" ht="13.5" customHeight="1">
      <c r="B51" s="554"/>
      <c r="C51" s="554"/>
    </row>
    <row r="52" spans="2:10" ht="13.5" customHeight="1">
      <c r="B52" s="554"/>
      <c r="C52" s="554"/>
    </row>
    <row r="53" spans="2:10" ht="13.5" customHeight="1">
      <c r="B53" s="554"/>
      <c r="C53" s="554"/>
    </row>
    <row r="54" spans="2:10" ht="13.8">
      <c r="B54" s="1812" t="s">
        <v>3451</v>
      </c>
      <c r="C54" s="1812"/>
      <c r="D54" s="1812"/>
      <c r="E54" s="1812"/>
      <c r="F54" s="1812"/>
      <c r="G54" s="1812"/>
      <c r="H54" s="1812"/>
      <c r="I54" s="1812"/>
      <c r="J54" s="1812"/>
    </row>
  </sheetData>
  <sheetProtection algorithmName="SHA-512" hashValue="VgGR3gHB6WIoBsVA1AjE85qBXCzCLxyyU+Z3SW2DfG177B5fLFlVIvsLjflQ/9VNcVkSeLFY4ZRdkVs5R/l+tA==" saltValue="/12f1DLBpbLn9bQ+ZjP1U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7">
    <mergeCell ref="B3:J3"/>
    <mergeCell ref="B5:J5"/>
    <mergeCell ref="B30:J30"/>
    <mergeCell ref="B32:J32"/>
    <mergeCell ref="B54:J54"/>
    <mergeCell ref="I11:I12"/>
    <mergeCell ref="J11:J12"/>
  </mergeCells>
  <pageMargins left="0.25" right="0.25" top="0.5" bottom="0.5" header="0.25" footer="0.25"/>
  <pageSetup paperSize="5" orientation="portrait" r:id="rId5"/>
  <headerFooter alignWithMargins="0"/>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Sheet292">
    <tabColor theme="3" tint="0.79998168889431442"/>
  </sheetPr>
  <dimension ref="B1:AC52"/>
  <sheetViews>
    <sheetView topLeftCell="A16" zoomScaleNormal="100" zoomScaleSheetLayoutView="80" workbookViewId="0">
      <selection activeCell="B1" sqref="B1"/>
    </sheetView>
  </sheetViews>
  <sheetFormatPr defaultColWidth="8.88671875" defaultRowHeight="13.2"/>
  <cols>
    <col min="1" max="3" width="4.6640625" style="331" customWidth="1"/>
    <col min="4" max="4" width="4.5546875" style="331" customWidth="1"/>
    <col min="5" max="5" width="8.88671875" style="331"/>
    <col min="6" max="6" width="6.6640625" style="331" customWidth="1"/>
    <col min="7" max="10" width="16.6640625" style="331" customWidth="1"/>
    <col min="11" max="20" width="8.88671875" style="331"/>
    <col min="21" max="23" width="4.6640625" style="322" customWidth="1"/>
    <col min="24" max="24" width="8.88671875" style="322"/>
    <col min="25" max="25" width="6.6640625" style="322" customWidth="1"/>
    <col min="26" max="29" width="16.6640625" style="322" customWidth="1"/>
    <col min="30" max="16384" width="8.88671875" style="331"/>
  </cols>
  <sheetData>
    <row r="1" spans="2:19">
      <c r="B1" s="1146"/>
      <c r="C1" s="1146"/>
      <c r="D1" s="1422"/>
      <c r="E1" s="1422"/>
      <c r="F1" s="1146"/>
      <c r="G1" s="1146"/>
      <c r="H1" s="1146"/>
      <c r="I1" s="1146"/>
      <c r="J1" s="1146"/>
    </row>
    <row r="2" spans="2:19">
      <c r="B2" s="1146"/>
      <c r="C2" s="1146"/>
      <c r="D2" s="1422"/>
      <c r="E2" s="1422"/>
      <c r="F2" s="1146"/>
      <c r="G2" s="1146"/>
      <c r="H2" s="1146"/>
      <c r="I2" s="1146"/>
      <c r="J2" s="1146"/>
    </row>
    <row r="3" spans="2:19" ht="24.6">
      <c r="B3" s="1949" t="str">
        <f>UPPER('KEY INPUTS'!D$57)&amp;" UTILITY FUND"</f>
        <v xml:space="preserve"> UTILITY FUND</v>
      </c>
      <c r="C3" s="1949"/>
      <c r="D3" s="1949"/>
      <c r="E3" s="1949"/>
      <c r="F3" s="1949"/>
      <c r="G3" s="1949"/>
      <c r="H3" s="1949"/>
      <c r="I3" s="1949"/>
      <c r="J3" s="1949"/>
    </row>
    <row r="4" spans="2:19">
      <c r="B4" s="1146"/>
      <c r="C4" s="1146"/>
      <c r="D4" s="1146"/>
      <c r="E4" s="1146"/>
      <c r="F4" s="1146"/>
      <c r="G4" s="1146"/>
      <c r="H4" s="1146"/>
      <c r="I4" s="1146"/>
      <c r="J4" s="1146"/>
    </row>
    <row r="5" spans="2:19" ht="17.399999999999999">
      <c r="B5" s="1971" t="str">
        <f>"CAPITAL  IMPROVEMENTS  AUTHORIZED  IN "&amp;TEXT('KEY INPUTS'!D34,"0")&amp;""</f>
        <v>CAPITAL  IMPROVEMENTS  AUTHORIZED  IN 2019</v>
      </c>
      <c r="C5" s="1971"/>
      <c r="D5" s="1971"/>
      <c r="E5" s="1971"/>
      <c r="F5" s="1971"/>
      <c r="G5" s="1971"/>
      <c r="H5" s="1971"/>
      <c r="I5" s="1971"/>
      <c r="J5" s="1971"/>
    </row>
    <row r="6" spans="2:19" ht="17.399999999999999">
      <c r="B6" s="1971" t="s">
        <v>261</v>
      </c>
      <c r="C6" s="1971"/>
      <c r="D6" s="1971"/>
      <c r="E6" s="1971"/>
      <c r="F6" s="1971"/>
      <c r="G6" s="1971"/>
      <c r="H6" s="1971"/>
      <c r="I6" s="1971"/>
      <c r="J6" s="1971"/>
    </row>
    <row r="7" spans="2:19" ht="13.8" thickBot="1">
      <c r="B7" s="1146"/>
      <c r="C7" s="1146"/>
      <c r="D7" s="1146"/>
      <c r="E7" s="1146"/>
      <c r="F7" s="1146"/>
      <c r="G7" s="1146"/>
      <c r="H7" s="1146"/>
      <c r="I7" s="1146"/>
      <c r="J7" s="1146"/>
    </row>
    <row r="8" spans="2:19" ht="13.8" thickTop="1">
      <c r="B8" s="1142"/>
      <c r="C8" s="1142"/>
      <c r="D8" s="1142"/>
      <c r="E8" s="1142"/>
      <c r="F8" s="1142"/>
      <c r="G8" s="1143"/>
      <c r="H8" s="1143"/>
      <c r="I8" s="1143"/>
      <c r="J8" s="1423" t="s">
        <v>307</v>
      </c>
    </row>
    <row r="9" spans="2:19">
      <c r="B9" s="1146"/>
      <c r="C9" s="1787" t="s">
        <v>532</v>
      </c>
      <c r="D9" s="1787"/>
      <c r="E9" s="1787"/>
      <c r="F9" s="1146"/>
      <c r="G9" s="1147" t="s">
        <v>533</v>
      </c>
      <c r="H9" s="1147" t="s">
        <v>260</v>
      </c>
      <c r="I9" s="1147" t="s">
        <v>265</v>
      </c>
      <c r="J9" s="1141" t="s">
        <v>308</v>
      </c>
    </row>
    <row r="10" spans="2:19">
      <c r="B10" s="1146"/>
      <c r="C10" s="1146"/>
      <c r="D10" s="1146"/>
      <c r="E10" s="1146"/>
      <c r="F10" s="1146"/>
      <c r="G10" s="1147" t="s">
        <v>263</v>
      </c>
      <c r="H10" s="1147" t="s">
        <v>264</v>
      </c>
      <c r="I10" s="1147" t="s">
        <v>266</v>
      </c>
      <c r="J10" s="1141" t="str">
        <f>"of " &amp;TEXT('KEY INPUTS'!D34,"0")&amp;" or Prior"</f>
        <v>of 2019 or Prior</v>
      </c>
    </row>
    <row r="11" spans="2:19" ht="13.8" thickBot="1">
      <c r="B11" s="1153"/>
      <c r="C11" s="1153"/>
      <c r="D11" s="1153"/>
      <c r="E11" s="1153"/>
      <c r="F11" s="1153"/>
      <c r="G11" s="1155"/>
      <c r="H11" s="1155" t="s">
        <v>560</v>
      </c>
      <c r="I11" s="1155" t="s">
        <v>306</v>
      </c>
      <c r="J11" s="1424" t="s">
        <v>309</v>
      </c>
      <c r="M11" s="322"/>
      <c r="N11" s="322"/>
      <c r="O11" s="322"/>
      <c r="P11" s="322"/>
      <c r="Q11" s="322"/>
      <c r="R11" s="322"/>
      <c r="S11" s="322"/>
    </row>
    <row r="12" spans="2:19" ht="21" customHeight="1" thickTop="1">
      <c r="B12" s="673"/>
      <c r="C12" s="673"/>
      <c r="D12" s="673"/>
      <c r="E12" s="673"/>
      <c r="F12" s="673"/>
      <c r="G12" s="605"/>
      <c r="H12" s="605"/>
      <c r="I12" s="605"/>
      <c r="J12" s="639"/>
      <c r="M12" s="322"/>
      <c r="N12" s="322"/>
      <c r="O12" s="322"/>
      <c r="P12" s="322"/>
      <c r="Q12" s="322"/>
      <c r="R12" s="322"/>
      <c r="S12" s="322"/>
    </row>
    <row r="13" spans="2:19" ht="21" customHeight="1">
      <c r="B13" s="648"/>
      <c r="C13" s="648"/>
      <c r="D13" s="648"/>
      <c r="E13" s="648"/>
      <c r="F13" s="648"/>
      <c r="G13" s="601"/>
      <c r="H13" s="601"/>
      <c r="I13" s="601"/>
      <c r="J13" s="609"/>
      <c r="M13" s="377"/>
      <c r="N13" s="322"/>
      <c r="O13" s="322"/>
      <c r="P13" s="322"/>
      <c r="Q13" s="322"/>
      <c r="R13" s="322"/>
      <c r="S13" s="322"/>
    </row>
    <row r="14" spans="2:19" ht="21" customHeight="1">
      <c r="B14" s="648"/>
      <c r="C14" s="648"/>
      <c r="D14" s="648"/>
      <c r="E14" s="648"/>
      <c r="F14" s="648"/>
      <c r="G14" s="601"/>
      <c r="H14" s="601"/>
      <c r="I14" s="601"/>
      <c r="J14" s="609"/>
      <c r="M14" s="322"/>
      <c r="N14" s="322"/>
      <c r="O14" s="322"/>
      <c r="P14" s="322"/>
      <c r="Q14" s="322"/>
      <c r="R14" s="322"/>
      <c r="S14" s="322"/>
    </row>
    <row r="15" spans="2:19" ht="21" customHeight="1">
      <c r="B15" s="648"/>
      <c r="C15" s="648"/>
      <c r="D15" s="648"/>
      <c r="E15" s="648"/>
      <c r="F15" s="648"/>
      <c r="G15" s="601"/>
      <c r="H15" s="601"/>
      <c r="I15" s="601"/>
      <c r="J15" s="609"/>
      <c r="M15" s="322"/>
      <c r="N15" s="322"/>
      <c r="O15" s="322"/>
      <c r="P15" s="322"/>
      <c r="Q15" s="322"/>
      <c r="R15" s="322"/>
      <c r="S15" s="322"/>
    </row>
    <row r="16" spans="2:19" ht="21" customHeight="1">
      <c r="B16" s="648"/>
      <c r="C16" s="648"/>
      <c r="D16" s="648"/>
      <c r="E16" s="648"/>
      <c r="F16" s="648"/>
      <c r="G16" s="601"/>
      <c r="H16" s="601"/>
      <c r="I16" s="601"/>
      <c r="J16" s="609"/>
      <c r="M16" s="322"/>
      <c r="N16" s="322"/>
      <c r="O16" s="322"/>
      <c r="P16" s="322"/>
      <c r="Q16" s="322"/>
      <c r="R16" s="322"/>
      <c r="S16" s="322"/>
    </row>
    <row r="17" spans="2:19" ht="21" customHeight="1">
      <c r="B17" s="648"/>
      <c r="C17" s="648"/>
      <c r="D17" s="648"/>
      <c r="E17" s="648"/>
      <c r="F17" s="648"/>
      <c r="G17" s="601"/>
      <c r="H17" s="601"/>
      <c r="I17" s="601"/>
      <c r="J17" s="609"/>
      <c r="M17" s="322"/>
      <c r="N17" s="322"/>
      <c r="O17" s="322"/>
      <c r="P17" s="322"/>
      <c r="Q17" s="322"/>
      <c r="R17" s="322"/>
      <c r="S17" s="322"/>
    </row>
    <row r="18" spans="2:19" ht="21" customHeight="1">
      <c r="B18" s="648"/>
      <c r="C18" s="648"/>
      <c r="D18" s="648"/>
      <c r="E18" s="648"/>
      <c r="F18" s="648"/>
      <c r="G18" s="601"/>
      <c r="H18" s="601"/>
      <c r="I18" s="601"/>
      <c r="J18" s="609"/>
      <c r="M18" s="322"/>
      <c r="N18" s="322"/>
      <c r="O18" s="322"/>
      <c r="P18" s="322"/>
      <c r="Q18" s="322"/>
      <c r="R18" s="322"/>
      <c r="S18" s="322"/>
    </row>
    <row r="19" spans="2:19" ht="21" customHeight="1">
      <c r="B19" s="648"/>
      <c r="C19" s="648"/>
      <c r="D19" s="648"/>
      <c r="E19" s="648"/>
      <c r="F19" s="648"/>
      <c r="G19" s="601"/>
      <c r="H19" s="601"/>
      <c r="I19" s="601"/>
      <c r="J19" s="609"/>
      <c r="M19" s="322"/>
      <c r="N19" s="322"/>
      <c r="O19" s="322"/>
      <c r="P19" s="322"/>
      <c r="Q19" s="322"/>
      <c r="R19" s="322"/>
      <c r="S19" s="322"/>
    </row>
    <row r="20" spans="2:19" ht="21" customHeight="1">
      <c r="B20" s="648"/>
      <c r="C20" s="648"/>
      <c r="D20" s="648"/>
      <c r="E20" s="648"/>
      <c r="F20" s="648"/>
      <c r="G20" s="601"/>
      <c r="H20" s="601"/>
      <c r="I20" s="601"/>
      <c r="J20" s="609"/>
      <c r="M20" s="322"/>
      <c r="N20" s="322"/>
      <c r="O20" s="322"/>
      <c r="P20" s="322"/>
      <c r="Q20" s="322"/>
      <c r="R20" s="322"/>
      <c r="S20" s="322"/>
    </row>
    <row r="21" spans="2:19" ht="21" customHeight="1" thickBot="1">
      <c r="B21" s="648"/>
      <c r="C21" s="648"/>
      <c r="D21" s="648"/>
      <c r="E21" s="648"/>
      <c r="F21" s="648"/>
      <c r="G21" s="627"/>
      <c r="H21" s="627"/>
      <c r="I21" s="627"/>
      <c r="J21" s="671"/>
      <c r="M21" s="322"/>
      <c r="N21" s="322"/>
      <c r="O21" s="322"/>
      <c r="P21" s="322"/>
      <c r="Q21" s="322"/>
      <c r="R21" s="322"/>
      <c r="S21" s="322"/>
    </row>
    <row r="22" spans="2:19" ht="21" customHeight="1" thickTop="1" thickBot="1">
      <c r="B22" s="1153"/>
      <c r="C22" s="1153"/>
      <c r="D22" s="1153"/>
      <c r="E22" s="1153"/>
      <c r="F22" s="1153"/>
      <c r="G22" s="1083">
        <f>SUM(G12:G21)</f>
        <v>0</v>
      </c>
      <c r="H22" s="1083">
        <f>SUM(H12:H21)</f>
        <v>0</v>
      </c>
      <c r="I22" s="1083">
        <f>SUM(I12:I21)</f>
        <v>0</v>
      </c>
      <c r="J22" s="1059">
        <f>SUM(J12:J21)</f>
        <v>0</v>
      </c>
      <c r="M22" s="322"/>
      <c r="N22" s="322"/>
      <c r="O22" s="322"/>
      <c r="P22" s="322"/>
      <c r="Q22" s="322"/>
      <c r="R22" s="322"/>
      <c r="S22" s="322"/>
    </row>
    <row r="23" spans="2:19" ht="13.8" thickTop="1">
      <c r="B23" s="1146"/>
      <c r="C23" s="1146"/>
      <c r="D23" s="1146"/>
      <c r="E23" s="1146"/>
      <c r="F23" s="1146"/>
      <c r="G23" s="1146"/>
      <c r="H23" s="1146"/>
      <c r="I23" s="1146"/>
      <c r="J23" s="1146"/>
      <c r="M23" s="322"/>
      <c r="N23" s="322"/>
      <c r="O23" s="322"/>
      <c r="P23" s="322"/>
      <c r="Q23" s="322"/>
      <c r="R23" s="322"/>
      <c r="S23" s="322"/>
    </row>
    <row r="24" spans="2:19">
      <c r="B24" s="1146"/>
      <c r="C24" s="1146"/>
      <c r="D24" s="1146"/>
      <c r="E24" s="1146"/>
      <c r="F24" s="1146"/>
      <c r="G24" s="1146"/>
      <c r="H24" s="1146"/>
      <c r="I24" s="1146"/>
      <c r="J24" s="1146"/>
      <c r="M24" s="322"/>
      <c r="N24" s="322"/>
      <c r="O24" s="322"/>
      <c r="P24" s="322"/>
      <c r="Q24" s="322"/>
      <c r="R24" s="322"/>
      <c r="S24" s="322"/>
    </row>
    <row r="25" spans="2:19">
      <c r="B25" s="1146"/>
      <c r="C25" s="1146"/>
      <c r="D25" s="1146"/>
      <c r="E25" s="1146"/>
      <c r="F25" s="1146"/>
      <c r="G25" s="1146"/>
      <c r="H25" s="1146"/>
      <c r="I25" s="1146"/>
      <c r="J25" s="1146"/>
      <c r="M25" s="322"/>
      <c r="N25" s="322"/>
      <c r="O25" s="322"/>
      <c r="P25" s="322"/>
      <c r="Q25" s="322"/>
      <c r="R25" s="322"/>
      <c r="S25" s="322"/>
    </row>
    <row r="26" spans="2:19">
      <c r="B26" s="1146"/>
      <c r="C26" s="1146"/>
      <c r="D26" s="1146"/>
      <c r="E26" s="1146"/>
      <c r="F26" s="1146"/>
      <c r="G26" s="1146"/>
      <c r="H26" s="1146"/>
      <c r="I26" s="1146"/>
      <c r="J26" s="1146"/>
      <c r="M26" s="322"/>
      <c r="N26" s="322"/>
      <c r="O26" s="322"/>
      <c r="P26" s="322"/>
      <c r="Q26" s="322"/>
      <c r="R26" s="322"/>
      <c r="S26" s="322"/>
    </row>
    <row r="27" spans="2:19">
      <c r="B27" s="1146"/>
      <c r="C27" s="1146"/>
      <c r="D27" s="1146"/>
      <c r="E27" s="1146"/>
      <c r="F27" s="1146"/>
      <c r="G27" s="1146"/>
      <c r="H27" s="1146"/>
      <c r="I27" s="1146"/>
      <c r="J27" s="1146"/>
      <c r="M27" s="322"/>
      <c r="N27" s="322"/>
      <c r="O27" s="322"/>
      <c r="P27" s="322"/>
      <c r="Q27" s="322"/>
      <c r="R27" s="322"/>
      <c r="S27" s="322"/>
    </row>
    <row r="28" spans="2:19" ht="22.8">
      <c r="B28" s="1759" t="str">
        <f>UPPER('KEY INPUTS'!D$57)&amp;" UTILITY  CAPITAL  FUND"</f>
        <v xml:space="preserve"> UTILITY  CAPITAL  FUND</v>
      </c>
      <c r="C28" s="1759"/>
      <c r="D28" s="1759"/>
      <c r="E28" s="1759"/>
      <c r="F28" s="1759"/>
      <c r="G28" s="1759"/>
      <c r="H28" s="1759"/>
      <c r="I28" s="1759"/>
      <c r="J28" s="1759"/>
    </row>
    <row r="29" spans="2:19" ht="22.8">
      <c r="B29" s="1782" t="s">
        <v>193</v>
      </c>
      <c r="C29" s="1782"/>
      <c r="D29" s="1782"/>
      <c r="E29" s="1782"/>
      <c r="F29" s="1782"/>
      <c r="G29" s="1782"/>
      <c r="H29" s="1782"/>
      <c r="I29" s="1782"/>
      <c r="J29" s="1782"/>
    </row>
    <row r="30" spans="2:19">
      <c r="B30" s="1146"/>
      <c r="C30" s="1146"/>
      <c r="D30" s="1146"/>
      <c r="E30" s="1146"/>
      <c r="F30" s="1146"/>
      <c r="G30" s="1146"/>
      <c r="H30" s="1146"/>
      <c r="I30" s="1146"/>
      <c r="J30" s="1146"/>
    </row>
    <row r="31" spans="2:19" ht="15.6">
      <c r="B31" s="1970" t="str">
        <f>"YEAR  "&amp;TEXT('KEY INPUTS'!D34,"0")&amp;""</f>
        <v>YEAR  2019</v>
      </c>
      <c r="C31" s="1970"/>
      <c r="D31" s="1970"/>
      <c r="E31" s="1970"/>
      <c r="F31" s="1970"/>
      <c r="G31" s="1970"/>
      <c r="H31" s="1970"/>
      <c r="I31" s="1970"/>
      <c r="J31" s="1970"/>
    </row>
    <row r="32" spans="2:19" ht="13.8" thickBot="1">
      <c r="B32" s="1146"/>
      <c r="C32" s="1146"/>
      <c r="D32" s="1146"/>
      <c r="E32" s="1146"/>
      <c r="F32" s="1146"/>
      <c r="G32" s="1146"/>
      <c r="H32" s="1146"/>
      <c r="I32" s="1146"/>
      <c r="J32" s="1146"/>
    </row>
    <row r="33" spans="2:10" ht="28.5" customHeight="1" thickTop="1" thickBot="1">
      <c r="B33" s="1388"/>
      <c r="C33" s="1388"/>
      <c r="D33" s="1388"/>
      <c r="E33" s="1388"/>
      <c r="F33" s="1388"/>
      <c r="G33" s="1388"/>
      <c r="H33" s="1388"/>
      <c r="I33" s="1134" t="s">
        <v>125</v>
      </c>
      <c r="J33" s="1135" t="s">
        <v>126</v>
      </c>
    </row>
    <row r="34" spans="2:10" ht="21" customHeight="1" thickTop="1">
      <c r="B34" s="1425" t="str">
        <f>'KEY INPUTS'!D25</f>
        <v>Balance - January 1, 2019</v>
      </c>
      <c r="C34" s="1158"/>
      <c r="D34" s="1158"/>
      <c r="E34" s="1158"/>
      <c r="F34" s="1158"/>
      <c r="G34" s="1158"/>
      <c r="H34" s="1158"/>
      <c r="I34" s="1088" t="s">
        <v>787</v>
      </c>
      <c r="J34" s="638"/>
    </row>
    <row r="35" spans="2:10" ht="21" customHeight="1">
      <c r="B35" s="1139" t="s">
        <v>195</v>
      </c>
      <c r="C35" s="1139"/>
      <c r="D35" s="1139"/>
      <c r="E35" s="1139"/>
      <c r="F35" s="1139"/>
      <c r="G35" s="1139"/>
      <c r="H35" s="1139"/>
      <c r="I35" s="973" t="s">
        <v>787</v>
      </c>
      <c r="J35" s="578"/>
    </row>
    <row r="36" spans="2:10" ht="21" customHeight="1">
      <c r="B36" s="1139" t="s">
        <v>196</v>
      </c>
      <c r="C36" s="1139"/>
      <c r="D36" s="1139"/>
      <c r="E36" s="1139"/>
      <c r="F36" s="1139"/>
      <c r="G36" s="1139"/>
      <c r="H36" s="1139"/>
      <c r="I36" s="973" t="s">
        <v>787</v>
      </c>
      <c r="J36" s="578"/>
    </row>
    <row r="37" spans="2:10" ht="21" customHeight="1">
      <c r="B37" s="648" t="s">
        <v>3493</v>
      </c>
      <c r="C37" s="648"/>
      <c r="D37" s="648"/>
      <c r="E37" s="1139"/>
      <c r="F37" s="1139"/>
      <c r="G37" s="1139"/>
      <c r="H37" s="1139"/>
      <c r="I37" s="1019"/>
      <c r="J37" s="578"/>
    </row>
    <row r="38" spans="2:10" ht="21" customHeight="1">
      <c r="B38" s="648"/>
      <c r="C38" s="648"/>
      <c r="D38" s="648"/>
      <c r="E38" s="648"/>
      <c r="F38" s="648"/>
      <c r="G38" s="648"/>
      <c r="H38" s="1139"/>
      <c r="I38" s="374"/>
      <c r="J38" s="578"/>
    </row>
    <row r="39" spans="2:10" ht="21" customHeight="1">
      <c r="B39" s="648"/>
      <c r="C39" s="648"/>
      <c r="D39" s="648"/>
      <c r="E39" s="648"/>
      <c r="F39" s="648"/>
      <c r="G39" s="648"/>
      <c r="H39" s="1139"/>
      <c r="I39" s="374"/>
      <c r="J39" s="578"/>
    </row>
    <row r="40" spans="2:10" ht="21" customHeight="1">
      <c r="B40" s="1139" t="s">
        <v>3453</v>
      </c>
      <c r="C40" s="1139"/>
      <c r="D40" s="1139"/>
      <c r="E40" s="1139"/>
      <c r="F40" s="1139"/>
      <c r="G40" s="1139"/>
      <c r="H40" s="1139"/>
      <c r="I40" s="374"/>
      <c r="J40" s="977" t="s">
        <v>787</v>
      </c>
    </row>
    <row r="41" spans="2:10" ht="21" customHeight="1">
      <c r="B41" s="1139" t="str">
        <f>"Appropriation to "&amp;'KEY INPUTS'!D34&amp;" Budget Reserve"</f>
        <v>Appropriation to 2019 Budget Reserve</v>
      </c>
      <c r="C41" s="1139"/>
      <c r="D41" s="1139"/>
      <c r="E41" s="1139"/>
      <c r="F41" s="1139"/>
      <c r="G41" s="1426"/>
      <c r="H41" s="1139"/>
      <c r="I41" s="601"/>
      <c r="J41" s="977" t="s">
        <v>787</v>
      </c>
    </row>
    <row r="42" spans="2:10" ht="21" customHeight="1">
      <c r="B42" s="1139" t="str">
        <f>'KEY INPUTS'!D26</f>
        <v>Balance - December 31, 2019</v>
      </c>
      <c r="C42" s="1139"/>
      <c r="D42" s="1139"/>
      <c r="E42" s="1139"/>
      <c r="F42" s="1139"/>
      <c r="G42" s="1139"/>
      <c r="H42" s="1139"/>
      <c r="I42" s="842">
        <f>SUM(J34:J39)-SUM(I37:I41)</f>
        <v>0</v>
      </c>
      <c r="J42" s="977" t="s">
        <v>787</v>
      </c>
    </row>
    <row r="43" spans="2:10" ht="21" customHeight="1" thickBot="1">
      <c r="B43" s="1146"/>
      <c r="C43" s="1146"/>
      <c r="D43" s="1146"/>
      <c r="E43" s="1146"/>
      <c r="F43" s="1146"/>
      <c r="G43" s="1146"/>
      <c r="H43" s="1146"/>
      <c r="I43" s="1021">
        <f>SUM(I34:I42)</f>
        <v>0</v>
      </c>
      <c r="J43" s="985">
        <f>SUM(J34:J42)</f>
        <v>0</v>
      </c>
    </row>
    <row r="44" spans="2:10" ht="21" customHeight="1" thickTop="1"/>
    <row r="45" spans="2:10" ht="21" customHeight="1"/>
    <row r="46" spans="2:10" ht="21" customHeight="1"/>
    <row r="47" spans="2:10" ht="21" customHeight="1"/>
    <row r="48" spans="2:10" ht="21" customHeight="1"/>
    <row r="49" spans="2:10" ht="21" customHeight="1"/>
    <row r="52" spans="2:10" ht="13.8">
      <c r="B52" s="1812" t="s">
        <v>3452</v>
      </c>
      <c r="C52" s="1812"/>
      <c r="D52" s="1812"/>
      <c r="E52" s="1812"/>
      <c r="F52" s="1812"/>
      <c r="G52" s="1812"/>
      <c r="H52" s="1812"/>
      <c r="I52" s="1812"/>
      <c r="J52" s="1812"/>
    </row>
  </sheetData>
  <sheetProtection password="CAF9"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topLeftCell="A16">
      <selection activeCell="B1" sqref="B1"/>
      <pageMargins left="0.25" right="0.25" top="0.5" bottom="0.5" header="0.25" footer="0.25"/>
      <pageSetup paperSize="5" orientation="portrait" r:id="rId4"/>
      <headerFooter alignWithMargins="0"/>
    </customSheetView>
  </customSheetViews>
  <mergeCells count="8">
    <mergeCell ref="B31:J31"/>
    <mergeCell ref="B52:J52"/>
    <mergeCell ref="B3:J3"/>
    <mergeCell ref="B5:J5"/>
    <mergeCell ref="B6:J6"/>
    <mergeCell ref="C9:E9"/>
    <mergeCell ref="B28:J28"/>
    <mergeCell ref="B29:J29"/>
  </mergeCells>
  <pageMargins left="0.25" right="0.25" top="0.5" bottom="0.5" header="0.25" footer="0.25"/>
  <pageSetup paperSize="5" orientation="portrait" r:id="rId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00000"/>
  </sheetPr>
  <dimension ref="A2:AB592"/>
  <sheetViews>
    <sheetView topLeftCell="C1" zoomScaleNormal="100" workbookViewId="0">
      <selection activeCell="D23" sqref="D23"/>
    </sheetView>
  </sheetViews>
  <sheetFormatPr defaultRowHeight="13.2"/>
  <cols>
    <col min="1" max="2" width="4.6640625" hidden="1" customWidth="1"/>
    <col min="3" max="3" width="31.5546875" customWidth="1"/>
    <col min="4" max="4" width="54.109375" customWidth="1"/>
    <col min="5" max="5" width="10.88671875" bestFit="1" customWidth="1"/>
    <col min="6" max="6" width="11.44140625" customWidth="1"/>
    <col min="17" max="18" width="9.109375" hidden="1" customWidth="1"/>
    <col min="19" max="19" width="27" hidden="1" customWidth="1"/>
    <col min="20" max="20" width="21.5546875" hidden="1" customWidth="1"/>
    <col min="21" max="21" width="34.6640625" hidden="1" customWidth="1"/>
    <col min="22" max="22" width="29.44140625" hidden="1" customWidth="1"/>
    <col min="23" max="23" width="13.109375" hidden="1" customWidth="1"/>
    <col min="24" max="24" width="19" hidden="1" customWidth="1"/>
    <col min="25" max="25" width="25.5546875" style="322" hidden="1" customWidth="1"/>
    <col min="26" max="26" width="20.5546875" hidden="1" customWidth="1"/>
    <col min="27" max="27" width="9.109375" hidden="1" customWidth="1"/>
  </cols>
  <sheetData>
    <row r="2" spans="3:28" ht="17.399999999999999">
      <c r="C2" s="1512" t="s">
        <v>1165</v>
      </c>
      <c r="D2" s="1512"/>
      <c r="E2" s="1512"/>
    </row>
    <row r="3" spans="3:28">
      <c r="D3" s="1483" t="s">
        <v>3785</v>
      </c>
      <c r="AB3" s="1483" t="s">
        <v>3785</v>
      </c>
    </row>
    <row r="5" spans="3:28">
      <c r="C5" s="45" t="s">
        <v>850</v>
      </c>
    </row>
    <row r="6" spans="3:28">
      <c r="C6" s="45" t="s">
        <v>901</v>
      </c>
      <c r="D6" s="1511" t="s">
        <v>851</v>
      </c>
      <c r="E6" s="1511"/>
      <c r="R6" s="324" t="s">
        <v>3375</v>
      </c>
      <c r="S6" s="118" t="s">
        <v>2856</v>
      </c>
      <c r="T6" s="118" t="s">
        <v>455</v>
      </c>
      <c r="U6" s="118" t="s">
        <v>2855</v>
      </c>
      <c r="V6" s="118" t="s">
        <v>852</v>
      </c>
      <c r="W6" s="118" t="s">
        <v>2858</v>
      </c>
      <c r="X6" s="118" t="s">
        <v>2857</v>
      </c>
      <c r="Y6" s="118" t="s">
        <v>3403</v>
      </c>
      <c r="Z6" s="118" t="s">
        <v>854</v>
      </c>
      <c r="AA6" s="118" t="s">
        <v>3404</v>
      </c>
    </row>
    <row r="7" spans="3:28" ht="14.4" thickBot="1">
      <c r="C7" s="95"/>
      <c r="D7" s="95"/>
      <c r="E7" s="95"/>
      <c r="Q7" s="385">
        <v>1</v>
      </c>
      <c r="R7" s="386" t="s">
        <v>1166</v>
      </c>
      <c r="S7" s="386" t="s">
        <v>1167</v>
      </c>
      <c r="T7" s="387" t="s">
        <v>1168</v>
      </c>
      <c r="U7" s="385" t="s">
        <v>1169</v>
      </c>
      <c r="V7" s="385" t="s">
        <v>1167</v>
      </c>
      <c r="W7" s="386" t="s">
        <v>3107</v>
      </c>
      <c r="X7" s="324" t="s">
        <v>3362</v>
      </c>
      <c r="Y7" s="324" t="s">
        <v>3398</v>
      </c>
      <c r="Z7" t="s">
        <v>3379</v>
      </c>
      <c r="AA7" s="392">
        <v>18210</v>
      </c>
    </row>
    <row r="8" spans="3:28" s="322" customFormat="1" ht="20.25" customHeight="1" thickTop="1">
      <c r="C8" s="365" t="s">
        <v>1160</v>
      </c>
      <c r="D8" s="1017">
        <v>526</v>
      </c>
      <c r="E8" s="1017"/>
      <c r="Q8" s="385">
        <f>Q7+1</f>
        <v>2</v>
      </c>
      <c r="R8" s="386" t="s">
        <v>1170</v>
      </c>
      <c r="S8" s="386" t="s">
        <v>1171</v>
      </c>
      <c r="T8" s="387" t="s">
        <v>1172</v>
      </c>
      <c r="U8" s="385" t="s">
        <v>1173</v>
      </c>
      <c r="V8" s="385" t="s">
        <v>3307</v>
      </c>
      <c r="W8" s="386" t="s">
        <v>3307</v>
      </c>
      <c r="X8" s="324" t="s">
        <v>3364</v>
      </c>
      <c r="Y8" s="324" t="s">
        <v>3398</v>
      </c>
      <c r="Z8" s="322" t="s">
        <v>3380</v>
      </c>
      <c r="AA8" s="392">
        <v>8411</v>
      </c>
    </row>
    <row r="9" spans="3:28" ht="13.8">
      <c r="C9" s="324" t="s">
        <v>3726</v>
      </c>
      <c r="D9" s="390" t="str">
        <f>UPPER(VLOOKUP($D$8,$Q$7:$X$592,8,FALSE)&amp;" Of "&amp;VLOOKUP($D$8,$Q$7:$X$592,7,FALSE))</f>
        <v>BOROUGH OF WATCHUNG</v>
      </c>
      <c r="E9" s="277"/>
      <c r="Q9" s="385">
        <f t="shared" ref="Q9:Q72" si="0">Q8+1</f>
        <v>3</v>
      </c>
      <c r="R9" s="386" t="s">
        <v>3369</v>
      </c>
      <c r="S9" s="386" t="s">
        <v>3371</v>
      </c>
      <c r="T9" s="387" t="s">
        <v>1293</v>
      </c>
      <c r="U9" s="385" t="str">
        <f>S9&amp;", "&amp;T9&amp;" County"</f>
        <v>Alexandria Township, Hunterdon County</v>
      </c>
      <c r="V9" s="385" t="s">
        <v>3371</v>
      </c>
      <c r="W9" s="386" t="s">
        <v>3373</v>
      </c>
      <c r="X9" s="324" t="s">
        <v>3362</v>
      </c>
      <c r="Y9" s="324" t="s">
        <v>3399</v>
      </c>
      <c r="Z9" s="322" t="s">
        <v>3381</v>
      </c>
      <c r="AA9" s="392">
        <v>4938</v>
      </c>
    </row>
    <row r="10" spans="3:28" ht="13.8">
      <c r="C10" s="324" t="s">
        <v>3727</v>
      </c>
      <c r="D10" s="391" t="str">
        <f>UPPER(VLOOKUP($D$8,$Q$7:$X$592,4,FALSE))</f>
        <v>SOMERSET</v>
      </c>
      <c r="E10" s="277"/>
      <c r="Q10" s="385">
        <f t="shared" si="0"/>
        <v>4</v>
      </c>
      <c r="R10" s="386" t="s">
        <v>3370</v>
      </c>
      <c r="S10" s="386" t="s">
        <v>3372</v>
      </c>
      <c r="T10" s="387" t="s">
        <v>1190</v>
      </c>
      <c r="U10" s="385" t="str">
        <f>S10&amp;", "&amp;T10&amp;" County"</f>
        <v>Allamuchy Township, Warren County</v>
      </c>
      <c r="V10" s="385" t="s">
        <v>3372</v>
      </c>
      <c r="W10" s="386" t="s">
        <v>3374</v>
      </c>
      <c r="X10" s="324" t="s">
        <v>3362</v>
      </c>
      <c r="Y10" s="324" t="s">
        <v>3398</v>
      </c>
      <c r="Z10" s="322" t="s">
        <v>3382</v>
      </c>
      <c r="AA10" s="392">
        <v>4323</v>
      </c>
    </row>
    <row r="11" spans="3:28" ht="13.8">
      <c r="C11" s="324" t="s">
        <v>3728</v>
      </c>
      <c r="D11" s="391" t="str">
        <f>UPPER(VLOOKUP($D$8,$Q$7:$X$592,7,FALSE))</f>
        <v>WATCHUNG</v>
      </c>
      <c r="E11" s="277"/>
      <c r="Q11" s="385">
        <f t="shared" si="0"/>
        <v>5</v>
      </c>
      <c r="R11" s="386" t="s">
        <v>1174</v>
      </c>
      <c r="S11" s="386" t="s">
        <v>1175</v>
      </c>
      <c r="T11" s="387" t="s">
        <v>1176</v>
      </c>
      <c r="U11" s="385" t="s">
        <v>1177</v>
      </c>
      <c r="V11" s="385" t="s">
        <v>2859</v>
      </c>
      <c r="W11" s="386" t="s">
        <v>2859</v>
      </c>
      <c r="X11" s="324" t="s">
        <v>3363</v>
      </c>
      <c r="Y11" s="324" t="s">
        <v>3398</v>
      </c>
      <c r="Z11" s="322" t="s">
        <v>3379</v>
      </c>
      <c r="AA11" s="392">
        <v>6505</v>
      </c>
    </row>
    <row r="12" spans="3:28" ht="13.8">
      <c r="C12" t="s">
        <v>853</v>
      </c>
      <c r="D12" s="391" t="str">
        <f>UPPER(VLOOKUP($D$8,$Q$7:$X$592,8,FALSE))</f>
        <v>BOROUGH</v>
      </c>
      <c r="E12" s="277"/>
      <c r="Q12" s="385">
        <f t="shared" si="0"/>
        <v>6</v>
      </c>
      <c r="R12" s="386" t="s">
        <v>1178</v>
      </c>
      <c r="S12" s="386" t="s">
        <v>1179</v>
      </c>
      <c r="T12" s="387" t="s">
        <v>1168</v>
      </c>
      <c r="U12" s="385" t="s">
        <v>1180</v>
      </c>
      <c r="V12" s="385" t="s">
        <v>2860</v>
      </c>
      <c r="W12" s="386" t="s">
        <v>2860</v>
      </c>
      <c r="X12" s="324" t="s">
        <v>3363</v>
      </c>
      <c r="Y12" s="324" t="s">
        <v>3400</v>
      </c>
      <c r="Z12" s="322" t="s">
        <v>3383</v>
      </c>
      <c r="AA12" s="392">
        <v>496</v>
      </c>
    </row>
    <row r="13" spans="3:28" ht="13.8">
      <c r="C13" t="s">
        <v>1057</v>
      </c>
      <c r="D13" s="395"/>
      <c r="E13" s="277"/>
      <c r="Q13" s="385">
        <f t="shared" si="0"/>
        <v>7</v>
      </c>
      <c r="R13" s="386" t="s">
        <v>1181</v>
      </c>
      <c r="S13" s="386" t="s">
        <v>1182</v>
      </c>
      <c r="T13" s="387" t="s">
        <v>1168</v>
      </c>
      <c r="U13" s="385" t="s">
        <v>1183</v>
      </c>
      <c r="V13" s="385" t="s">
        <v>2861</v>
      </c>
      <c r="W13" s="386" t="s">
        <v>2861</v>
      </c>
      <c r="X13" s="324" t="s">
        <v>3363</v>
      </c>
      <c r="Y13" s="324" t="s">
        <v>3398</v>
      </c>
      <c r="Z13" s="322" t="s">
        <v>3379</v>
      </c>
      <c r="AA13" s="392">
        <v>1828</v>
      </c>
    </row>
    <row r="14" spans="3:28" ht="13.8">
      <c r="C14" t="s">
        <v>854</v>
      </c>
      <c r="D14" s="391" t="str">
        <f>UPPER(VLOOKUP($D$8,$Q$7:$Z$592,9,FALSE))</f>
        <v>COUNCIL MEMBERS</v>
      </c>
      <c r="E14" s="277"/>
      <c r="Q14" s="385">
        <f t="shared" si="0"/>
        <v>8</v>
      </c>
      <c r="R14" s="386" t="s">
        <v>1184</v>
      </c>
      <c r="S14" s="386" t="s">
        <v>1185</v>
      </c>
      <c r="T14" s="387" t="s">
        <v>1186</v>
      </c>
      <c r="U14" s="385" t="s">
        <v>1187</v>
      </c>
      <c r="V14" s="385" t="s">
        <v>1185</v>
      </c>
      <c r="W14" s="386" t="s">
        <v>3108</v>
      </c>
      <c r="X14" s="324" t="s">
        <v>3362</v>
      </c>
      <c r="Y14" s="324" t="s">
        <v>3399</v>
      </c>
      <c r="Z14" s="322" t="s">
        <v>3381</v>
      </c>
      <c r="AA14" s="392">
        <v>3467</v>
      </c>
    </row>
    <row r="15" spans="3:28" ht="13.8">
      <c r="Q15" s="385">
        <f t="shared" si="0"/>
        <v>9</v>
      </c>
      <c r="R15" s="386" t="s">
        <v>1188</v>
      </c>
      <c r="S15" s="386" t="s">
        <v>1189</v>
      </c>
      <c r="T15" s="387" t="s">
        <v>1190</v>
      </c>
      <c r="U15" s="385" t="s">
        <v>1191</v>
      </c>
      <c r="V15" s="385" t="s">
        <v>2862</v>
      </c>
      <c r="W15" s="386" t="s">
        <v>2862</v>
      </c>
      <c r="X15" s="324" t="s">
        <v>3363</v>
      </c>
      <c r="Y15" s="324" t="s">
        <v>3398</v>
      </c>
      <c r="Z15" s="322" t="s">
        <v>3379</v>
      </c>
      <c r="AA15" s="392">
        <v>2369</v>
      </c>
    </row>
    <row r="16" spans="3:28" ht="13.8">
      <c r="C16" t="s">
        <v>62</v>
      </c>
      <c r="D16" s="1504" t="s">
        <v>3946</v>
      </c>
      <c r="E16" s="277"/>
      <c r="Q16" s="385">
        <f t="shared" si="0"/>
        <v>10</v>
      </c>
      <c r="R16" s="386" t="s">
        <v>1192</v>
      </c>
      <c r="S16" s="386" t="s">
        <v>1193</v>
      </c>
      <c r="T16" s="387" t="s">
        <v>1176</v>
      </c>
      <c r="U16" s="385" t="s">
        <v>1194</v>
      </c>
      <c r="V16" s="385" t="s">
        <v>2863</v>
      </c>
      <c r="W16" s="386" t="s">
        <v>2863</v>
      </c>
      <c r="X16" s="324" t="s">
        <v>3363</v>
      </c>
      <c r="Y16" s="324" t="s">
        <v>3398</v>
      </c>
      <c r="Z16" s="322" t="s">
        <v>3379</v>
      </c>
      <c r="AA16" s="392">
        <v>1849</v>
      </c>
    </row>
    <row r="17" spans="3:27" ht="13.8">
      <c r="C17" t="s">
        <v>62</v>
      </c>
      <c r="D17" s="1504" t="s">
        <v>3947</v>
      </c>
      <c r="E17" s="277"/>
      <c r="Q17" s="385">
        <f t="shared" si="0"/>
        <v>11</v>
      </c>
      <c r="R17" s="386" t="s">
        <v>1195</v>
      </c>
      <c r="S17" s="386" t="s">
        <v>1196</v>
      </c>
      <c r="T17" s="387" t="s">
        <v>1197</v>
      </c>
      <c r="U17" s="385" t="s">
        <v>1198</v>
      </c>
      <c r="V17" s="385" t="s">
        <v>2864</v>
      </c>
      <c r="W17" s="386" t="s">
        <v>2864</v>
      </c>
      <c r="X17" s="324" t="s">
        <v>3363</v>
      </c>
      <c r="Y17" s="324" t="s">
        <v>3398</v>
      </c>
      <c r="Z17" s="322" t="s">
        <v>3379</v>
      </c>
      <c r="AA17" s="392">
        <v>606</v>
      </c>
    </row>
    <row r="18" spans="3:27" ht="13.8">
      <c r="C18" t="s">
        <v>855</v>
      </c>
      <c r="D18" s="1504" t="s">
        <v>3949</v>
      </c>
      <c r="E18" s="277"/>
      <c r="Q18" s="385">
        <f t="shared" si="0"/>
        <v>12</v>
      </c>
      <c r="R18" s="386" t="s">
        <v>1199</v>
      </c>
      <c r="S18" s="386" t="s">
        <v>1200</v>
      </c>
      <c r="T18" s="387" t="s">
        <v>1197</v>
      </c>
      <c r="U18" s="385" t="s">
        <v>1201</v>
      </c>
      <c r="V18" s="385" t="s">
        <v>1200</v>
      </c>
      <c r="W18" s="386" t="s">
        <v>2864</v>
      </c>
      <c r="X18" s="324" t="s">
        <v>3362</v>
      </c>
      <c r="Y18" s="324" t="s">
        <v>3399</v>
      </c>
      <c r="Z18" s="322" t="s">
        <v>3384</v>
      </c>
      <c r="AA18" s="392">
        <v>6319</v>
      </c>
    </row>
    <row r="19" spans="3:27" ht="13.8">
      <c r="C19" t="s">
        <v>856</v>
      </c>
      <c r="D19" s="1504" t="s">
        <v>3948</v>
      </c>
      <c r="Q19" s="385">
        <f t="shared" si="0"/>
        <v>13</v>
      </c>
      <c r="R19" s="386" t="s">
        <v>1202</v>
      </c>
      <c r="S19" s="386" t="s">
        <v>1203</v>
      </c>
      <c r="T19" s="387" t="s">
        <v>1168</v>
      </c>
      <c r="U19" s="385" t="s">
        <v>1204</v>
      </c>
      <c r="V19" s="385" t="s">
        <v>3308</v>
      </c>
      <c r="W19" s="386" t="s">
        <v>3308</v>
      </c>
      <c r="X19" s="324" t="s">
        <v>3364</v>
      </c>
      <c r="Y19" s="324" t="s">
        <v>3398</v>
      </c>
      <c r="Z19" s="322" t="s">
        <v>3385</v>
      </c>
      <c r="AA19" s="392">
        <v>16116</v>
      </c>
    </row>
    <row r="20" spans="3:27" ht="13.8">
      <c r="E20" s="360" t="s">
        <v>1159</v>
      </c>
      <c r="Q20" s="385">
        <f t="shared" si="0"/>
        <v>14</v>
      </c>
      <c r="R20" s="386" t="s">
        <v>1205</v>
      </c>
      <c r="S20" s="388" t="s">
        <v>1206</v>
      </c>
      <c r="T20" s="387" t="s">
        <v>1172</v>
      </c>
      <c r="U20" s="385" t="s">
        <v>1207</v>
      </c>
      <c r="V20" s="385" t="s">
        <v>3357</v>
      </c>
      <c r="W20" s="388" t="s">
        <v>3357</v>
      </c>
      <c r="X20" s="324" t="s">
        <v>3364</v>
      </c>
      <c r="Y20" s="324" t="s">
        <v>3398</v>
      </c>
      <c r="Z20" s="322" t="s">
        <v>3386</v>
      </c>
      <c r="AA20" s="392">
        <v>39558</v>
      </c>
    </row>
    <row r="21" spans="3:27" ht="13.8">
      <c r="C21" t="s">
        <v>153</v>
      </c>
      <c r="D21" s="395"/>
      <c r="E21" s="395"/>
      <c r="Q21" s="385">
        <f t="shared" si="0"/>
        <v>15</v>
      </c>
      <c r="R21" s="386" t="s">
        <v>1208</v>
      </c>
      <c r="S21" s="386" t="s">
        <v>1209</v>
      </c>
      <c r="T21" s="387" t="s">
        <v>1168</v>
      </c>
      <c r="U21" s="385" t="s">
        <v>1210</v>
      </c>
      <c r="V21" s="385" t="s">
        <v>2865</v>
      </c>
      <c r="W21" s="386" t="s">
        <v>2865</v>
      </c>
      <c r="X21" s="324" t="s">
        <v>3363</v>
      </c>
      <c r="Y21" s="324" t="s">
        <v>3398</v>
      </c>
      <c r="Z21" s="322" t="s">
        <v>3379</v>
      </c>
      <c r="AA21" s="392">
        <v>4385</v>
      </c>
    </row>
    <row r="22" spans="3:27" ht="13.8">
      <c r="C22" t="s">
        <v>1056</v>
      </c>
      <c r="D22" s="395" t="s">
        <v>3887</v>
      </c>
      <c r="E22" s="277"/>
      <c r="F22" s="760" t="s">
        <v>3544</v>
      </c>
      <c r="Q22" s="385">
        <f t="shared" si="0"/>
        <v>16</v>
      </c>
      <c r="R22" s="386" t="s">
        <v>1211</v>
      </c>
      <c r="S22" s="386" t="s">
        <v>1212</v>
      </c>
      <c r="T22" s="387" t="s">
        <v>1213</v>
      </c>
      <c r="U22" s="385" t="s">
        <v>1214</v>
      </c>
      <c r="V22" s="385" t="s">
        <v>2866</v>
      </c>
      <c r="W22" s="386" t="s">
        <v>2866</v>
      </c>
      <c r="X22" s="324" t="s">
        <v>3363</v>
      </c>
      <c r="Y22" s="324" t="s">
        <v>3400</v>
      </c>
      <c r="Z22" s="322" t="s">
        <v>3383</v>
      </c>
      <c r="AA22" s="392">
        <v>8819</v>
      </c>
    </row>
    <row r="23" spans="3:27" ht="13.8">
      <c r="C23" t="s">
        <v>1058</v>
      </c>
      <c r="D23" s="396"/>
      <c r="E23" s="277"/>
      <c r="Q23" s="385">
        <f t="shared" si="0"/>
        <v>17</v>
      </c>
      <c r="R23" s="386" t="s">
        <v>1215</v>
      </c>
      <c r="S23" s="386" t="s">
        <v>1216</v>
      </c>
      <c r="T23" s="387" t="s">
        <v>1213</v>
      </c>
      <c r="U23" s="385" t="s">
        <v>1217</v>
      </c>
      <c r="V23" s="385" t="s">
        <v>2867</v>
      </c>
      <c r="W23" s="386" t="s">
        <v>2867</v>
      </c>
      <c r="X23" s="324" t="s">
        <v>3363</v>
      </c>
      <c r="Y23" s="324" t="s">
        <v>3398</v>
      </c>
      <c r="Z23" s="322" t="s">
        <v>3379</v>
      </c>
      <c r="AA23" s="392">
        <v>1023</v>
      </c>
    </row>
    <row r="24" spans="3:27" ht="13.8">
      <c r="Q24" s="385">
        <f t="shared" si="0"/>
        <v>18</v>
      </c>
      <c r="R24" s="386" t="s">
        <v>1218</v>
      </c>
      <c r="S24" s="386" t="s">
        <v>1219</v>
      </c>
      <c r="T24" s="387" t="s">
        <v>1220</v>
      </c>
      <c r="U24" s="385" t="s">
        <v>1221</v>
      </c>
      <c r="V24" s="385" t="s">
        <v>2868</v>
      </c>
      <c r="W24" s="386" t="s">
        <v>2868</v>
      </c>
      <c r="X24" s="324" t="s">
        <v>3363</v>
      </c>
      <c r="Y24" s="324" t="s">
        <v>3398</v>
      </c>
      <c r="Z24" s="322" t="s">
        <v>3387</v>
      </c>
      <c r="AA24" s="392">
        <v>1334</v>
      </c>
    </row>
    <row r="25" spans="3:27" ht="13.8">
      <c r="C25" s="293" t="s">
        <v>1142</v>
      </c>
      <c r="D25" s="393" t="s">
        <v>1162</v>
      </c>
      <c r="E25" s="277"/>
      <c r="Q25" s="385">
        <f t="shared" si="0"/>
        <v>19</v>
      </c>
      <c r="R25" s="386" t="s">
        <v>1222</v>
      </c>
      <c r="S25" s="386" t="s">
        <v>1223</v>
      </c>
      <c r="T25" s="387" t="s">
        <v>1168</v>
      </c>
      <c r="U25" s="385" t="s">
        <v>1224</v>
      </c>
      <c r="V25" s="385" t="s">
        <v>2869</v>
      </c>
      <c r="W25" s="386" t="s">
        <v>2869</v>
      </c>
      <c r="X25" s="324" t="s">
        <v>3363</v>
      </c>
      <c r="Y25" s="324" t="s">
        <v>3400</v>
      </c>
      <c r="Z25" s="322" t="s">
        <v>3383</v>
      </c>
      <c r="AA25" s="392">
        <v>1901</v>
      </c>
    </row>
    <row r="26" spans="3:27" ht="13.8">
      <c r="C26" s="293"/>
      <c r="D26" s="393" t="s">
        <v>1161</v>
      </c>
      <c r="E26" s="277"/>
      <c r="Q26" s="385">
        <f t="shared" si="0"/>
        <v>20</v>
      </c>
      <c r="R26" s="386" t="s">
        <v>1225</v>
      </c>
      <c r="S26" s="386" t="s">
        <v>1226</v>
      </c>
      <c r="T26" s="387" t="s">
        <v>1227</v>
      </c>
      <c r="U26" s="385" t="s">
        <v>1228</v>
      </c>
      <c r="V26" s="385" t="s">
        <v>2870</v>
      </c>
      <c r="W26" s="386" t="s">
        <v>2870</v>
      </c>
      <c r="X26" s="324" t="s">
        <v>3363</v>
      </c>
      <c r="Y26" s="324" t="s">
        <v>3398</v>
      </c>
      <c r="Z26" s="322" t="s">
        <v>3379</v>
      </c>
      <c r="AA26" s="392">
        <v>574</v>
      </c>
    </row>
    <row r="27" spans="3:27" ht="13.8">
      <c r="C27" s="293"/>
      <c r="D27" s="393" t="s">
        <v>1163</v>
      </c>
      <c r="E27" s="277"/>
      <c r="Q27" s="385">
        <f t="shared" si="0"/>
        <v>21</v>
      </c>
      <c r="R27" s="386" t="s">
        <v>1229</v>
      </c>
      <c r="S27" s="386" t="s">
        <v>1230</v>
      </c>
      <c r="T27" s="387" t="s">
        <v>1227</v>
      </c>
      <c r="U27" s="385" t="s">
        <v>1231</v>
      </c>
      <c r="V27" s="385" t="s">
        <v>1230</v>
      </c>
      <c r="W27" s="386" t="s">
        <v>3109</v>
      </c>
      <c r="X27" s="324" t="s">
        <v>3362</v>
      </c>
      <c r="Y27" s="324" t="s">
        <v>3399</v>
      </c>
      <c r="Z27" s="322" t="s">
        <v>3384</v>
      </c>
      <c r="AA27" s="392">
        <v>20936</v>
      </c>
    </row>
    <row r="28" spans="3:27" ht="13.8">
      <c r="C28" s="293"/>
      <c r="D28" s="393" t="s">
        <v>1164</v>
      </c>
      <c r="Q28" s="385">
        <f t="shared" si="0"/>
        <v>22</v>
      </c>
      <c r="R28" s="386" t="s">
        <v>1232</v>
      </c>
      <c r="S28" s="386" t="s">
        <v>1233</v>
      </c>
      <c r="T28" s="387" t="s">
        <v>1213</v>
      </c>
      <c r="U28" s="385" t="s">
        <v>1234</v>
      </c>
      <c r="V28" s="385" t="s">
        <v>2871</v>
      </c>
      <c r="W28" s="386" t="s">
        <v>2871</v>
      </c>
      <c r="X28" s="324" t="s">
        <v>3363</v>
      </c>
      <c r="Y28" s="324" t="s">
        <v>3398</v>
      </c>
      <c r="Z28" s="322" t="s">
        <v>3379</v>
      </c>
      <c r="AA28" s="392">
        <v>6983</v>
      </c>
    </row>
    <row r="29" spans="3:27" ht="13.8">
      <c r="C29" s="293" t="s">
        <v>1143</v>
      </c>
      <c r="D29" s="394">
        <v>43830</v>
      </c>
      <c r="Q29" s="385">
        <f t="shared" si="0"/>
        <v>23</v>
      </c>
      <c r="R29" s="386" t="s">
        <v>1235</v>
      </c>
      <c r="S29" s="386" t="s">
        <v>1236</v>
      </c>
      <c r="T29" s="387" t="s">
        <v>1237</v>
      </c>
      <c r="U29" s="385" t="s">
        <v>1238</v>
      </c>
      <c r="V29" s="385" t="s">
        <v>1236</v>
      </c>
      <c r="W29" s="386" t="s">
        <v>3110</v>
      </c>
      <c r="X29" s="324" t="s">
        <v>3362</v>
      </c>
      <c r="Y29" s="324" t="s">
        <v>3400</v>
      </c>
      <c r="Z29" s="322" t="s">
        <v>3383</v>
      </c>
      <c r="AA29" s="392">
        <v>1443</v>
      </c>
    </row>
    <row r="30" spans="3:27" ht="13.8">
      <c r="C30" s="293" t="s">
        <v>3454</v>
      </c>
      <c r="D30" s="394">
        <v>44196</v>
      </c>
      <c r="Q30" s="385">
        <f t="shared" si="0"/>
        <v>24</v>
      </c>
      <c r="R30" s="386" t="s">
        <v>1239</v>
      </c>
      <c r="S30" s="386" t="s">
        <v>1240</v>
      </c>
      <c r="T30" s="387" t="s">
        <v>1227</v>
      </c>
      <c r="U30" s="385" t="s">
        <v>1241</v>
      </c>
      <c r="V30" s="385" t="s">
        <v>2872</v>
      </c>
      <c r="W30" s="386" t="s">
        <v>2872</v>
      </c>
      <c r="X30" s="324" t="s">
        <v>3363</v>
      </c>
      <c r="Y30" s="324" t="s">
        <v>3398</v>
      </c>
      <c r="Z30" s="322" t="s">
        <v>3379</v>
      </c>
      <c r="AA30" s="392">
        <v>968</v>
      </c>
    </row>
    <row r="31" spans="3:27" ht="13.8">
      <c r="Q31" s="385">
        <f t="shared" si="0"/>
        <v>25</v>
      </c>
      <c r="R31" s="386" t="s">
        <v>1242</v>
      </c>
      <c r="S31" s="386" t="s">
        <v>1243</v>
      </c>
      <c r="T31" s="387" t="s">
        <v>1244</v>
      </c>
      <c r="U31" s="385" t="s">
        <v>1245</v>
      </c>
      <c r="V31" s="385" t="s">
        <v>3309</v>
      </c>
      <c r="W31" s="386" t="s">
        <v>3309</v>
      </c>
      <c r="X31" s="324" t="s">
        <v>3364</v>
      </c>
      <c r="Y31" s="324" t="s">
        <v>3398</v>
      </c>
      <c r="Z31" s="322" t="s">
        <v>3387</v>
      </c>
      <c r="AA31" s="392">
        <v>63024</v>
      </c>
    </row>
    <row r="32" spans="3:27" ht="13.8">
      <c r="Q32" s="385">
        <f t="shared" si="0"/>
        <v>26</v>
      </c>
      <c r="R32" s="386" t="s">
        <v>1246</v>
      </c>
      <c r="S32" s="386" t="s">
        <v>1247</v>
      </c>
      <c r="T32" s="387" t="s">
        <v>1227</v>
      </c>
      <c r="U32" s="385" t="s">
        <v>1248</v>
      </c>
      <c r="V32" s="385" t="s">
        <v>2873</v>
      </c>
      <c r="W32" s="386" t="s">
        <v>2873</v>
      </c>
      <c r="X32" s="324" t="s">
        <v>3363</v>
      </c>
      <c r="Y32" s="324" t="s">
        <v>3398</v>
      </c>
      <c r="Z32" s="322" t="s">
        <v>3385</v>
      </c>
      <c r="AA32" s="392">
        <v>1170</v>
      </c>
    </row>
    <row r="33" spans="3:27" ht="13.8">
      <c r="C33" s="278" t="s">
        <v>1138</v>
      </c>
      <c r="D33" s="369">
        <v>2020</v>
      </c>
      <c r="Q33" s="385">
        <f t="shared" si="0"/>
        <v>27</v>
      </c>
      <c r="R33" s="386" t="s">
        <v>1249</v>
      </c>
      <c r="S33" s="386" t="s">
        <v>1250</v>
      </c>
      <c r="T33" s="387" t="s">
        <v>1227</v>
      </c>
      <c r="U33" s="385" t="s">
        <v>1251</v>
      </c>
      <c r="V33" s="385" t="s">
        <v>2874</v>
      </c>
      <c r="W33" s="386" t="s">
        <v>2874</v>
      </c>
      <c r="X33" s="324" t="s">
        <v>3363</v>
      </c>
      <c r="Y33" s="324" t="s">
        <v>3398</v>
      </c>
      <c r="Z33" s="322" t="s">
        <v>3379</v>
      </c>
      <c r="AA33" s="392">
        <v>11045</v>
      </c>
    </row>
    <row r="34" spans="3:27" ht="13.8">
      <c r="C34" s="278" t="s">
        <v>1139</v>
      </c>
      <c r="D34" s="370">
        <f>D33-1</f>
        <v>2019</v>
      </c>
      <c r="Q34" s="385">
        <f t="shared" si="0"/>
        <v>28</v>
      </c>
      <c r="R34" s="386" t="s">
        <v>1252</v>
      </c>
      <c r="S34" s="386" t="s">
        <v>1253</v>
      </c>
      <c r="T34" s="387" t="s">
        <v>1254</v>
      </c>
      <c r="U34" s="385" t="s">
        <v>1255</v>
      </c>
      <c r="V34" s="385" t="s">
        <v>1253</v>
      </c>
      <c r="W34" s="386" t="s">
        <v>3111</v>
      </c>
      <c r="X34" s="324" t="s">
        <v>3362</v>
      </c>
      <c r="Y34" s="324" t="s">
        <v>3399</v>
      </c>
      <c r="Z34" s="322" t="s">
        <v>3384</v>
      </c>
      <c r="AA34" s="392">
        <v>8165</v>
      </c>
    </row>
    <row r="35" spans="3:27" ht="13.8">
      <c r="C35" s="278" t="s">
        <v>1140</v>
      </c>
      <c r="D35" s="370">
        <f>D34-1</f>
        <v>2018</v>
      </c>
      <c r="Q35" s="385">
        <f t="shared" si="0"/>
        <v>29</v>
      </c>
      <c r="R35" s="386" t="s">
        <v>1256</v>
      </c>
      <c r="S35" s="386" t="s">
        <v>1257</v>
      </c>
      <c r="T35" s="387" t="s">
        <v>1258</v>
      </c>
      <c r="U35" s="385" t="s">
        <v>1259</v>
      </c>
      <c r="V35" s="385" t="s">
        <v>1257</v>
      </c>
      <c r="W35" s="386" t="s">
        <v>3112</v>
      </c>
      <c r="X35" s="324" t="s">
        <v>3362</v>
      </c>
      <c r="Y35" s="324" t="s">
        <v>3398</v>
      </c>
      <c r="Z35" s="322" t="s">
        <v>3388</v>
      </c>
      <c r="AA35" s="392">
        <v>35926</v>
      </c>
    </row>
    <row r="36" spans="3:27" ht="13.8">
      <c r="Q36" s="385">
        <f t="shared" si="0"/>
        <v>30</v>
      </c>
      <c r="R36" s="386" t="s">
        <v>1260</v>
      </c>
      <c r="S36" s="386" t="s">
        <v>1261</v>
      </c>
      <c r="T36" s="387" t="s">
        <v>1213</v>
      </c>
      <c r="U36" s="385" t="s">
        <v>1262</v>
      </c>
      <c r="V36" s="385" t="s">
        <v>2875</v>
      </c>
      <c r="W36" s="386" t="s">
        <v>2875</v>
      </c>
      <c r="X36" s="324" t="s">
        <v>3363</v>
      </c>
      <c r="Y36" s="324" t="s">
        <v>3398</v>
      </c>
      <c r="Z36" s="322" t="s">
        <v>3379</v>
      </c>
      <c r="AA36" s="392">
        <v>11583</v>
      </c>
    </row>
    <row r="37" spans="3:27" ht="13.8">
      <c r="C37" s="276" t="s">
        <v>931</v>
      </c>
      <c r="D37" s="371">
        <f>VLOOKUP(D8,$Q$7:$AA$592,11,FALSE)</f>
        <v>5801</v>
      </c>
      <c r="Q37" s="385">
        <f t="shared" si="0"/>
        <v>31</v>
      </c>
      <c r="R37" s="386" t="s">
        <v>1263</v>
      </c>
      <c r="S37" s="386" t="s">
        <v>1264</v>
      </c>
      <c r="T37" s="387" t="s">
        <v>1168</v>
      </c>
      <c r="U37" s="385" t="s">
        <v>1265</v>
      </c>
      <c r="V37" s="385" t="s">
        <v>2876</v>
      </c>
      <c r="W37" s="386" t="s">
        <v>2876</v>
      </c>
      <c r="X37" s="324" t="s">
        <v>3363</v>
      </c>
      <c r="Y37" s="324" t="s">
        <v>3398</v>
      </c>
      <c r="Z37" s="322" t="s">
        <v>3382</v>
      </c>
      <c r="AA37" s="392">
        <v>5794</v>
      </c>
    </row>
    <row r="38" spans="3:27" ht="13.8">
      <c r="C38" s="276" t="str">
        <f>"NET  VALUATION  TAXABLE  "&amp;D34</f>
        <v>NET  VALUATION  TAXABLE  2019</v>
      </c>
      <c r="D38" s="941">
        <v>1801787004</v>
      </c>
      <c r="Q38" s="385">
        <f t="shared" si="0"/>
        <v>32</v>
      </c>
      <c r="R38" s="386" t="s">
        <v>1266</v>
      </c>
      <c r="S38" s="386" t="s">
        <v>1267</v>
      </c>
      <c r="T38" s="387" t="s">
        <v>1190</v>
      </c>
      <c r="U38" s="385" t="s">
        <v>1268</v>
      </c>
      <c r="V38" s="385" t="s">
        <v>3346</v>
      </c>
      <c r="W38" s="386" t="s">
        <v>3346</v>
      </c>
      <c r="X38" s="324" t="s">
        <v>2856</v>
      </c>
      <c r="Y38" s="324" t="s">
        <v>3398</v>
      </c>
      <c r="Z38" s="322" t="s">
        <v>3379</v>
      </c>
      <c r="AA38" s="392">
        <v>2681</v>
      </c>
    </row>
    <row r="39" spans="3:27" ht="13.8">
      <c r="C39" s="276" t="s">
        <v>1141</v>
      </c>
      <c r="D39" s="363" t="str">
        <f>VLOOKUP($D$8,$Q$7:$R$592,2,FALSE)</f>
        <v>1821</v>
      </c>
      <c r="Q39" s="385">
        <f t="shared" si="0"/>
        <v>33</v>
      </c>
      <c r="R39" s="386" t="s">
        <v>1269</v>
      </c>
      <c r="S39" s="386" t="s">
        <v>1270</v>
      </c>
      <c r="T39" s="387" t="s">
        <v>1176</v>
      </c>
      <c r="U39" s="385" t="s">
        <v>1271</v>
      </c>
      <c r="V39" s="385" t="s">
        <v>2877</v>
      </c>
      <c r="W39" s="386" t="s">
        <v>2877</v>
      </c>
      <c r="X39" s="324" t="s">
        <v>3363</v>
      </c>
      <c r="Y39" s="324" t="s">
        <v>3398</v>
      </c>
      <c r="Z39" s="322" t="s">
        <v>3379</v>
      </c>
      <c r="AA39" s="392">
        <v>26764</v>
      </c>
    </row>
    <row r="40" spans="3:27" s="322" customFormat="1" ht="13.8">
      <c r="C40" s="324"/>
      <c r="D40" s="368"/>
      <c r="Q40" s="385">
        <f t="shared" si="0"/>
        <v>34</v>
      </c>
      <c r="R40" s="386" t="s">
        <v>1272</v>
      </c>
      <c r="S40" s="386" t="s">
        <v>1273</v>
      </c>
      <c r="T40" s="387" t="s">
        <v>1274</v>
      </c>
      <c r="U40" s="385" t="s">
        <v>1275</v>
      </c>
      <c r="V40" s="385" t="s">
        <v>1273</v>
      </c>
      <c r="W40" s="386" t="s">
        <v>3113</v>
      </c>
      <c r="X40" s="324" t="s">
        <v>3362</v>
      </c>
      <c r="Y40" s="324" t="s">
        <v>3398</v>
      </c>
      <c r="Z40" s="322" t="s">
        <v>3379</v>
      </c>
      <c r="AA40" s="392">
        <v>13183</v>
      </c>
    </row>
    <row r="41" spans="3:27" ht="13.8">
      <c r="C41" s="275"/>
      <c r="D41" s="366" t="str">
        <f>"ANNUAL FINANCIAL STATEMENT FOR THE YEAR "&amp;D34</f>
        <v>ANNUAL FINANCIAL STATEMENT FOR THE YEAR 2019</v>
      </c>
      <c r="Q41" s="385">
        <f t="shared" si="0"/>
        <v>35</v>
      </c>
      <c r="R41" s="386" t="s">
        <v>1276</v>
      </c>
      <c r="S41" s="386" t="s">
        <v>1277</v>
      </c>
      <c r="T41" s="387" t="s">
        <v>1227</v>
      </c>
      <c r="U41" s="385" t="s">
        <v>1278</v>
      </c>
      <c r="V41" s="385" t="s">
        <v>1277</v>
      </c>
      <c r="W41" s="386" t="s">
        <v>3114</v>
      </c>
      <c r="X41" s="324" t="s">
        <v>3362</v>
      </c>
      <c r="Y41" s="324" t="s">
        <v>3398</v>
      </c>
      <c r="Z41" s="322" t="s">
        <v>3380</v>
      </c>
      <c r="AA41" s="392">
        <v>41255</v>
      </c>
    </row>
    <row r="42" spans="3:27" ht="13.8">
      <c r="C42" s="277"/>
      <c r="D42" s="366" t="str">
        <f>"COUNTIES  - JANUARY  26, "&amp;D33</f>
        <v>COUNTIES  - JANUARY  26, 2020</v>
      </c>
      <c r="Q42" s="385">
        <f t="shared" si="0"/>
        <v>36</v>
      </c>
      <c r="R42" s="386" t="s">
        <v>1279</v>
      </c>
      <c r="S42" s="386" t="s">
        <v>1280</v>
      </c>
      <c r="T42" s="387" t="s">
        <v>1213</v>
      </c>
      <c r="U42" s="385" t="s">
        <v>1281</v>
      </c>
      <c r="V42" s="385" t="s">
        <v>2878</v>
      </c>
      <c r="W42" s="386" t="s">
        <v>2878</v>
      </c>
      <c r="X42" s="324" t="s">
        <v>3363</v>
      </c>
      <c r="Y42" s="324" t="s">
        <v>3398</v>
      </c>
      <c r="Z42" s="322" t="s">
        <v>3379</v>
      </c>
      <c r="AA42" s="392">
        <v>7588</v>
      </c>
    </row>
    <row r="43" spans="3:27" ht="13.8">
      <c r="C43" s="277"/>
      <c r="D43" s="366" t="str">
        <f>"MUNICIPALITIES  - FEBRUARY 10, "&amp;D33</f>
        <v>MUNICIPALITIES  - FEBRUARY 10, 2020</v>
      </c>
      <c r="Q43" s="385">
        <f t="shared" si="0"/>
        <v>37</v>
      </c>
      <c r="R43" s="386" t="s">
        <v>1282</v>
      </c>
      <c r="S43" s="386" t="s">
        <v>1283</v>
      </c>
      <c r="T43" s="387" t="s">
        <v>1213</v>
      </c>
      <c r="U43" s="385" t="s">
        <v>1284</v>
      </c>
      <c r="V43" s="385" t="s">
        <v>1283</v>
      </c>
      <c r="W43" s="386" t="s">
        <v>2878</v>
      </c>
      <c r="X43" s="324" t="s">
        <v>3362</v>
      </c>
      <c r="Y43" s="324" t="s">
        <v>3398</v>
      </c>
      <c r="Z43" s="322" t="s">
        <v>3382</v>
      </c>
      <c r="AA43" s="392">
        <v>5357</v>
      </c>
    </row>
    <row r="44" spans="3:27" ht="13.8">
      <c r="C44" s="277"/>
      <c r="D44" s="366" t="str">
        <f>"AS  AT  DECEMBER  31, "&amp;D34</f>
        <v>AS  AT  DECEMBER  31, 2019</v>
      </c>
      <c r="Q44" s="385">
        <f t="shared" si="0"/>
        <v>38</v>
      </c>
      <c r="R44" s="386" t="s">
        <v>1285</v>
      </c>
      <c r="S44" s="386" t="s">
        <v>1286</v>
      </c>
      <c r="T44" s="387" t="s">
        <v>1254</v>
      </c>
      <c r="U44" s="385" t="s">
        <v>1287</v>
      </c>
      <c r="V44" s="385" t="s">
        <v>1286</v>
      </c>
      <c r="W44" s="386" t="s">
        <v>3115</v>
      </c>
      <c r="X44" s="324" t="s">
        <v>3362</v>
      </c>
      <c r="Y44" s="324" t="s">
        <v>3399</v>
      </c>
      <c r="Z44" s="322" t="s">
        <v>3384</v>
      </c>
      <c r="AA44" s="392">
        <v>26652</v>
      </c>
    </row>
    <row r="45" spans="3:27" ht="13.8">
      <c r="C45" s="275"/>
      <c r="D45" s="366" t="str">
        <f>"Dec. 31, "&amp;D35</f>
        <v>Dec. 31, 2018</v>
      </c>
      <c r="Q45" s="385">
        <f t="shared" si="0"/>
        <v>39</v>
      </c>
      <c r="R45" s="386" t="s">
        <v>1288</v>
      </c>
      <c r="S45" s="386" t="s">
        <v>1289</v>
      </c>
      <c r="T45" s="387" t="s">
        <v>1254</v>
      </c>
      <c r="U45" s="385" t="s">
        <v>1290</v>
      </c>
      <c r="V45" s="385" t="s">
        <v>2879</v>
      </c>
      <c r="W45" s="386" t="s">
        <v>2879</v>
      </c>
      <c r="X45" s="324" t="s">
        <v>3363</v>
      </c>
      <c r="Y45" s="324" t="s">
        <v>3398</v>
      </c>
      <c r="Z45" s="322" t="s">
        <v>3379</v>
      </c>
      <c r="AA45" s="392">
        <v>7707</v>
      </c>
    </row>
    <row r="46" spans="3:27" ht="13.8">
      <c r="C46" s="275"/>
      <c r="D46" s="366" t="str">
        <f>"Dec. 31, "&amp;D34</f>
        <v>Dec. 31, 2019</v>
      </c>
      <c r="Q46" s="385">
        <f t="shared" si="0"/>
        <v>40</v>
      </c>
      <c r="R46" s="386" t="s">
        <v>1291</v>
      </c>
      <c r="S46" s="386" t="s">
        <v>1292</v>
      </c>
      <c r="T46" s="387" t="s">
        <v>1293</v>
      </c>
      <c r="U46" s="385" t="s">
        <v>1294</v>
      </c>
      <c r="V46" s="385" t="s">
        <v>1292</v>
      </c>
      <c r="W46" s="386" t="s">
        <v>3116</v>
      </c>
      <c r="X46" s="324" t="s">
        <v>3362</v>
      </c>
      <c r="Y46" s="324" t="s">
        <v>3399</v>
      </c>
      <c r="Z46" s="322" t="s">
        <v>3384</v>
      </c>
      <c r="AA46" s="392">
        <v>3979</v>
      </c>
    </row>
    <row r="47" spans="3:27" ht="13.8">
      <c r="C47" s="275"/>
      <c r="D47" s="366" t="str">
        <f>"Jan. 1, "&amp;D34</f>
        <v>Jan. 1, 2019</v>
      </c>
      <c r="E47" s="275"/>
      <c r="F47" s="275"/>
      <c r="G47" s="275"/>
      <c r="Q47" s="385">
        <f t="shared" si="0"/>
        <v>41</v>
      </c>
      <c r="R47" s="386" t="s">
        <v>1295</v>
      </c>
      <c r="S47" s="386" t="s">
        <v>1296</v>
      </c>
      <c r="T47" s="387" t="s">
        <v>1237</v>
      </c>
      <c r="U47" s="385" t="s">
        <v>1297</v>
      </c>
      <c r="V47" s="385" t="s">
        <v>3310</v>
      </c>
      <c r="W47" s="386" t="s">
        <v>3310</v>
      </c>
      <c r="X47" s="324" t="s">
        <v>3364</v>
      </c>
      <c r="Y47" s="324" t="s">
        <v>3398</v>
      </c>
      <c r="Z47" s="322" t="s">
        <v>3386</v>
      </c>
      <c r="AA47" s="392">
        <v>2577</v>
      </c>
    </row>
    <row r="48" spans="3:27" ht="13.8">
      <c r="C48" s="275"/>
      <c r="D48" s="367" t="str">
        <f>"YEAR  - "&amp;D35</f>
        <v>YEAR  - 2018</v>
      </c>
      <c r="E48" s="275"/>
      <c r="F48" s="275"/>
      <c r="G48" s="275"/>
      <c r="Q48" s="385">
        <f t="shared" si="0"/>
        <v>42</v>
      </c>
      <c r="R48" s="386" t="s">
        <v>1298</v>
      </c>
      <c r="S48" s="386" t="s">
        <v>1299</v>
      </c>
      <c r="T48" s="387" t="s">
        <v>1190</v>
      </c>
      <c r="U48" s="385" t="s">
        <v>1300</v>
      </c>
      <c r="V48" s="385" t="s">
        <v>1299</v>
      </c>
      <c r="W48" s="386" t="s">
        <v>3117</v>
      </c>
      <c r="X48" s="324" t="s">
        <v>3362</v>
      </c>
      <c r="Y48" s="324" t="s">
        <v>3399</v>
      </c>
      <c r="Z48" s="322" t="s">
        <v>3384</v>
      </c>
      <c r="AA48" s="392">
        <v>5967</v>
      </c>
    </row>
    <row r="49" spans="3:27" ht="13.8">
      <c r="D49" s="367" t="str">
        <f>"YEAR  - "&amp;D34</f>
        <v>YEAR  - 2019</v>
      </c>
      <c r="Q49" s="385">
        <f t="shared" si="0"/>
        <v>43</v>
      </c>
      <c r="R49" s="386" t="s">
        <v>1301</v>
      </c>
      <c r="S49" s="386" t="s">
        <v>1302</v>
      </c>
      <c r="T49" s="387" t="s">
        <v>1258</v>
      </c>
      <c r="U49" s="385" t="s">
        <v>1303</v>
      </c>
      <c r="V49" s="385" t="s">
        <v>1302</v>
      </c>
      <c r="W49" s="386" t="s">
        <v>3118</v>
      </c>
      <c r="X49" s="324" t="s">
        <v>3362</v>
      </c>
      <c r="Y49" s="324" t="s">
        <v>3398</v>
      </c>
      <c r="Z49" s="322" t="s">
        <v>3379</v>
      </c>
      <c r="AA49" s="392">
        <v>47315</v>
      </c>
    </row>
    <row r="50" spans="3:27" ht="13.8">
      <c r="Q50" s="385">
        <f t="shared" si="0"/>
        <v>44</v>
      </c>
      <c r="R50" s="386" t="s">
        <v>1304</v>
      </c>
      <c r="S50" s="386" t="s">
        <v>1305</v>
      </c>
      <c r="T50" s="387" t="s">
        <v>1306</v>
      </c>
      <c r="U50" s="385" t="s">
        <v>1307</v>
      </c>
      <c r="V50" s="385" t="s">
        <v>2880</v>
      </c>
      <c r="W50" s="386" t="s">
        <v>2880</v>
      </c>
      <c r="X50" s="324" t="s">
        <v>3363</v>
      </c>
      <c r="Y50" s="324" t="s">
        <v>3398</v>
      </c>
      <c r="Z50" s="322" t="s">
        <v>3379</v>
      </c>
      <c r="AA50" s="392">
        <v>7656</v>
      </c>
    </row>
    <row r="51" spans="3:27" s="322" customFormat="1" ht="13.8">
      <c r="C51" s="324"/>
      <c r="D51" s="324" t="s">
        <v>3786</v>
      </c>
      <c r="Q51" s="385">
        <f>Q50+1</f>
        <v>45</v>
      </c>
      <c r="R51" s="386" t="s">
        <v>1308</v>
      </c>
      <c r="S51" s="386" t="s">
        <v>1309</v>
      </c>
      <c r="T51" s="387" t="s">
        <v>1293</v>
      </c>
      <c r="U51" s="385" t="s">
        <v>1310</v>
      </c>
      <c r="V51" s="385" t="s">
        <v>2881</v>
      </c>
      <c r="W51" s="386" t="s">
        <v>2881</v>
      </c>
      <c r="X51" s="324" t="s">
        <v>3363</v>
      </c>
      <c r="Y51" s="324" t="s">
        <v>3398</v>
      </c>
      <c r="Z51" s="322" t="s">
        <v>3379</v>
      </c>
      <c r="AA51" s="392">
        <v>870</v>
      </c>
    </row>
    <row r="52" spans="3:27" ht="13.8">
      <c r="C52" s="324" t="s">
        <v>3682</v>
      </c>
      <c r="D52" s="910"/>
      <c r="Q52" s="385">
        <f t="shared" si="0"/>
        <v>46</v>
      </c>
      <c r="R52" s="386" t="s">
        <v>1311</v>
      </c>
      <c r="S52" s="386" t="s">
        <v>1312</v>
      </c>
      <c r="T52" s="387" t="s">
        <v>1176</v>
      </c>
      <c r="U52" s="385" t="s">
        <v>1313</v>
      </c>
      <c r="V52" s="385" t="s">
        <v>2882</v>
      </c>
      <c r="W52" s="386" t="s">
        <v>2882</v>
      </c>
      <c r="X52" s="324" t="s">
        <v>3363</v>
      </c>
      <c r="Y52" s="324" t="s">
        <v>3398</v>
      </c>
      <c r="Z52" s="322" t="s">
        <v>3379</v>
      </c>
      <c r="AA52" s="392">
        <v>8187</v>
      </c>
    </row>
    <row r="53" spans="3:27" ht="13.8">
      <c r="C53" s="324" t="s">
        <v>3683</v>
      </c>
      <c r="D53" s="910"/>
      <c r="Q53" s="385">
        <f t="shared" si="0"/>
        <v>47</v>
      </c>
      <c r="R53" s="386" t="s">
        <v>1314</v>
      </c>
      <c r="S53" s="386" t="s">
        <v>1315</v>
      </c>
      <c r="T53" s="387" t="s">
        <v>1316</v>
      </c>
      <c r="U53" s="385" t="s">
        <v>1317</v>
      </c>
      <c r="V53" s="385" t="s">
        <v>3119</v>
      </c>
      <c r="W53" s="386" t="s">
        <v>3119</v>
      </c>
      <c r="X53" s="324" t="s">
        <v>2856</v>
      </c>
      <c r="Y53" s="324" t="s">
        <v>3401</v>
      </c>
      <c r="Z53" s="322" t="s">
        <v>3389</v>
      </c>
      <c r="AA53" s="392">
        <v>8347</v>
      </c>
    </row>
    <row r="54" spans="3:27" ht="13.8">
      <c r="C54" s="324" t="s">
        <v>3684</v>
      </c>
      <c r="D54" s="910"/>
      <c r="Q54" s="385">
        <f t="shared" si="0"/>
        <v>48</v>
      </c>
      <c r="R54" s="386" t="s">
        <v>1318</v>
      </c>
      <c r="S54" s="386" t="s">
        <v>1319</v>
      </c>
      <c r="T54" s="387" t="s">
        <v>1316</v>
      </c>
      <c r="U54" s="385" t="s">
        <v>1320</v>
      </c>
      <c r="V54" s="385" t="s">
        <v>1319</v>
      </c>
      <c r="W54" s="386" t="s">
        <v>3119</v>
      </c>
      <c r="X54" s="324" t="s">
        <v>3362</v>
      </c>
      <c r="Y54" s="324" t="s">
        <v>3399</v>
      </c>
      <c r="Z54" s="322" t="s">
        <v>3384</v>
      </c>
      <c r="AA54" s="392">
        <v>4263</v>
      </c>
    </row>
    <row r="55" spans="3:27" ht="13.8">
      <c r="C55" s="324" t="s">
        <v>3685</v>
      </c>
      <c r="D55" s="910"/>
      <c r="Q55" s="385">
        <f t="shared" si="0"/>
        <v>49</v>
      </c>
      <c r="R55" s="386" t="s">
        <v>1321</v>
      </c>
      <c r="S55" s="386" t="s">
        <v>1322</v>
      </c>
      <c r="T55" s="387" t="s">
        <v>1237</v>
      </c>
      <c r="U55" s="385" t="s">
        <v>1323</v>
      </c>
      <c r="V55" s="385" t="s">
        <v>3120</v>
      </c>
      <c r="W55" s="386" t="s">
        <v>3120</v>
      </c>
      <c r="X55" s="324" t="s">
        <v>3364</v>
      </c>
      <c r="Y55" s="324" t="s">
        <v>3400</v>
      </c>
      <c r="Z55" s="322" t="s">
        <v>3383</v>
      </c>
      <c r="AA55" s="392">
        <v>3924</v>
      </c>
    </row>
    <row r="56" spans="3:27" ht="13.8">
      <c r="C56" s="324" t="s">
        <v>3686</v>
      </c>
      <c r="D56" s="910"/>
      <c r="Q56" s="385">
        <f t="shared" si="0"/>
        <v>50</v>
      </c>
      <c r="R56" s="386" t="s">
        <v>1324</v>
      </c>
      <c r="S56" s="386" t="s">
        <v>1325</v>
      </c>
      <c r="T56" s="387" t="s">
        <v>1237</v>
      </c>
      <c r="U56" s="385" t="s">
        <v>1326</v>
      </c>
      <c r="V56" s="385" t="s">
        <v>1325</v>
      </c>
      <c r="W56" s="386" t="s">
        <v>3120</v>
      </c>
      <c r="X56" s="324" t="s">
        <v>3362</v>
      </c>
      <c r="Y56" s="324" t="s">
        <v>3399</v>
      </c>
      <c r="Z56" s="322" t="s">
        <v>3384</v>
      </c>
      <c r="AA56" s="392">
        <v>11367</v>
      </c>
    </row>
    <row r="57" spans="3:27" ht="13.8">
      <c r="C57" s="324" t="s">
        <v>3687</v>
      </c>
      <c r="D57" s="1484"/>
      <c r="Q57" s="385">
        <f t="shared" si="0"/>
        <v>51</v>
      </c>
      <c r="R57" s="386" t="s">
        <v>1327</v>
      </c>
      <c r="S57" s="386" t="s">
        <v>1328</v>
      </c>
      <c r="T57" s="387" t="s">
        <v>1254</v>
      </c>
      <c r="U57" s="385" t="s">
        <v>1329</v>
      </c>
      <c r="V57" s="385" t="s">
        <v>2883</v>
      </c>
      <c r="W57" s="386" t="s">
        <v>2883</v>
      </c>
      <c r="X57" s="324" t="s">
        <v>3363</v>
      </c>
      <c r="Y57" s="324" t="s">
        <v>3398</v>
      </c>
      <c r="Z57" s="322" t="s">
        <v>3379</v>
      </c>
      <c r="AA57" s="392">
        <v>10402</v>
      </c>
    </row>
    <row r="58" spans="3:27" ht="13.8">
      <c r="Q58" s="385">
        <f t="shared" si="0"/>
        <v>52</v>
      </c>
      <c r="R58" s="386" t="s">
        <v>1330</v>
      </c>
      <c r="S58" s="386" t="s">
        <v>1331</v>
      </c>
      <c r="T58" s="387" t="s">
        <v>1168</v>
      </c>
      <c r="U58" s="385" t="s">
        <v>1332</v>
      </c>
      <c r="V58" s="385" t="s">
        <v>2884</v>
      </c>
      <c r="W58" s="386" t="s">
        <v>2884</v>
      </c>
      <c r="X58" s="324" t="s">
        <v>3363</v>
      </c>
      <c r="Y58" s="324" t="s">
        <v>3398</v>
      </c>
      <c r="Z58" s="322" t="s">
        <v>3382</v>
      </c>
      <c r="AA58" s="392">
        <v>4298</v>
      </c>
    </row>
    <row r="59" spans="3:27" ht="13.8">
      <c r="Q59" s="385">
        <f t="shared" si="0"/>
        <v>53</v>
      </c>
      <c r="R59" s="386" t="s">
        <v>1333</v>
      </c>
      <c r="S59" s="386" t="s">
        <v>1334</v>
      </c>
      <c r="T59" s="387" t="s">
        <v>1254</v>
      </c>
      <c r="U59" s="385" t="s">
        <v>1335</v>
      </c>
      <c r="V59" s="385" t="s">
        <v>1334</v>
      </c>
      <c r="W59" s="386" t="s">
        <v>3121</v>
      </c>
      <c r="X59" s="324" t="s">
        <v>3362</v>
      </c>
      <c r="Y59" s="324" t="s">
        <v>3399</v>
      </c>
      <c r="Z59" s="322" t="s">
        <v>3384</v>
      </c>
      <c r="AA59" s="392">
        <v>14459</v>
      </c>
    </row>
    <row r="60" spans="3:27" ht="13.8">
      <c r="Q60" s="385">
        <f t="shared" si="0"/>
        <v>54</v>
      </c>
      <c r="R60" s="386" t="s">
        <v>1336</v>
      </c>
      <c r="S60" s="386" t="s">
        <v>1337</v>
      </c>
      <c r="T60" s="387" t="s">
        <v>1197</v>
      </c>
      <c r="U60" s="385" t="s">
        <v>1338</v>
      </c>
      <c r="V60" s="385" t="s">
        <v>2885</v>
      </c>
      <c r="W60" s="386" t="s">
        <v>2885</v>
      </c>
      <c r="X60" s="324" t="s">
        <v>3363</v>
      </c>
      <c r="Y60" s="324" t="s">
        <v>3398</v>
      </c>
      <c r="Z60" s="322" t="s">
        <v>3379</v>
      </c>
      <c r="AA60" s="392">
        <v>841</v>
      </c>
    </row>
    <row r="61" spans="3:27" ht="13.8">
      <c r="Q61" s="385">
        <f t="shared" si="0"/>
        <v>55</v>
      </c>
      <c r="R61" s="386" t="s">
        <v>1339</v>
      </c>
      <c r="S61" s="386" t="s">
        <v>1340</v>
      </c>
      <c r="T61" s="387" t="s">
        <v>1227</v>
      </c>
      <c r="U61" s="385" t="s">
        <v>1341</v>
      </c>
      <c r="V61" s="385" t="s">
        <v>1340</v>
      </c>
      <c r="W61" s="386" t="s">
        <v>3122</v>
      </c>
      <c r="X61" s="324" t="s">
        <v>3362</v>
      </c>
      <c r="Y61" s="324" t="s">
        <v>3398</v>
      </c>
      <c r="Z61" s="322" t="s">
        <v>3380</v>
      </c>
      <c r="AA61" s="392">
        <v>75072</v>
      </c>
    </row>
    <row r="62" spans="3:27" ht="13.8">
      <c r="Q62" s="385">
        <f t="shared" si="0"/>
        <v>56</v>
      </c>
      <c r="R62" s="386" t="s">
        <v>1342</v>
      </c>
      <c r="S62" s="386" t="s">
        <v>1343</v>
      </c>
      <c r="T62" s="387" t="s">
        <v>1344</v>
      </c>
      <c r="U62" s="385" t="s">
        <v>1345</v>
      </c>
      <c r="V62" s="385" t="s">
        <v>3311</v>
      </c>
      <c r="W62" s="386" t="s">
        <v>3311</v>
      </c>
      <c r="X62" s="324" t="s">
        <v>3364</v>
      </c>
      <c r="Y62" s="324" t="s">
        <v>3398</v>
      </c>
      <c r="Z62" s="322" t="s">
        <v>3387</v>
      </c>
      <c r="AA62" s="392">
        <v>25349</v>
      </c>
    </row>
    <row r="63" spans="3:27" ht="13.8">
      <c r="Q63" s="385">
        <f t="shared" si="0"/>
        <v>57</v>
      </c>
      <c r="R63" s="386" t="s">
        <v>1346</v>
      </c>
      <c r="S63" s="386" t="s">
        <v>1347</v>
      </c>
      <c r="T63" s="387" t="s">
        <v>1254</v>
      </c>
      <c r="U63" s="385" t="s">
        <v>1348</v>
      </c>
      <c r="V63" s="385" t="s">
        <v>1347</v>
      </c>
      <c r="W63" s="386" t="s">
        <v>3123</v>
      </c>
      <c r="X63" s="324" t="s">
        <v>3362</v>
      </c>
      <c r="Y63" s="324" t="s">
        <v>3398</v>
      </c>
      <c r="Z63" s="322" t="s">
        <v>3387</v>
      </c>
      <c r="AA63" s="392">
        <v>44464</v>
      </c>
    </row>
    <row r="64" spans="3:27" ht="13.8">
      <c r="Q64" s="385">
        <f t="shared" si="0"/>
        <v>58</v>
      </c>
      <c r="R64" s="386" t="s">
        <v>1349</v>
      </c>
      <c r="S64" s="386" t="s">
        <v>1350</v>
      </c>
      <c r="T64" s="387" t="s">
        <v>1168</v>
      </c>
      <c r="U64" s="385" t="s">
        <v>1351</v>
      </c>
      <c r="V64" s="385" t="s">
        <v>2886</v>
      </c>
      <c r="W64" s="386" t="s">
        <v>2886</v>
      </c>
      <c r="X64" s="324" t="s">
        <v>3363</v>
      </c>
      <c r="Y64" s="324" t="s">
        <v>3398</v>
      </c>
      <c r="Z64" s="322" t="s">
        <v>3379</v>
      </c>
      <c r="AA64" s="392">
        <v>4774</v>
      </c>
    </row>
    <row r="65" spans="17:27" ht="13.8">
      <c r="Q65" s="385">
        <f t="shared" si="0"/>
        <v>59</v>
      </c>
      <c r="R65" s="386" t="s">
        <v>1352</v>
      </c>
      <c r="S65" s="386" t="s">
        <v>1353</v>
      </c>
      <c r="T65" s="387" t="s">
        <v>1172</v>
      </c>
      <c r="U65" s="385" t="s">
        <v>1354</v>
      </c>
      <c r="V65" s="385" t="s">
        <v>3312</v>
      </c>
      <c r="W65" s="386" t="s">
        <v>3312</v>
      </c>
      <c r="X65" s="324" t="s">
        <v>3364</v>
      </c>
      <c r="Y65" s="324" t="s">
        <v>3398</v>
      </c>
      <c r="Z65" s="322" t="s">
        <v>3388</v>
      </c>
      <c r="AA65" s="392">
        <v>9450</v>
      </c>
    </row>
    <row r="66" spans="17:27" ht="13.8">
      <c r="Q66" s="385">
        <f t="shared" si="0"/>
        <v>60</v>
      </c>
      <c r="R66" s="386" t="s">
        <v>1355</v>
      </c>
      <c r="S66" s="386" t="s">
        <v>1356</v>
      </c>
      <c r="T66" s="387" t="s">
        <v>1213</v>
      </c>
      <c r="U66" s="385" t="s">
        <v>1357</v>
      </c>
      <c r="V66" s="385" t="s">
        <v>2887</v>
      </c>
      <c r="W66" s="386" t="s">
        <v>2887</v>
      </c>
      <c r="X66" s="324" t="s">
        <v>3363</v>
      </c>
      <c r="Y66" s="324" t="s">
        <v>3398</v>
      </c>
      <c r="Z66" s="322" t="s">
        <v>3379</v>
      </c>
      <c r="AA66" s="392">
        <v>1955</v>
      </c>
    </row>
    <row r="67" spans="17:27" ht="13.8">
      <c r="Q67" s="385">
        <f t="shared" si="0"/>
        <v>61</v>
      </c>
      <c r="R67" s="386" t="s">
        <v>1358</v>
      </c>
      <c r="S67" s="386" t="s">
        <v>1359</v>
      </c>
      <c r="T67" s="387" t="s">
        <v>1172</v>
      </c>
      <c r="U67" s="385" t="s">
        <v>1360</v>
      </c>
      <c r="V67" s="385" t="s">
        <v>2888</v>
      </c>
      <c r="W67" s="386" t="s">
        <v>2888</v>
      </c>
      <c r="X67" s="324" t="s">
        <v>3363</v>
      </c>
      <c r="Y67" s="324" t="s">
        <v>3398</v>
      </c>
      <c r="Z67" s="322" t="s">
        <v>3379</v>
      </c>
      <c r="AA67" s="392">
        <v>4603</v>
      </c>
    </row>
    <row r="68" spans="17:27" ht="13.8">
      <c r="Q68" s="385">
        <f t="shared" si="0"/>
        <v>62</v>
      </c>
      <c r="R68" s="386" t="s">
        <v>1361</v>
      </c>
      <c r="S68" s="386" t="s">
        <v>1362</v>
      </c>
      <c r="T68" s="387" t="s">
        <v>1172</v>
      </c>
      <c r="U68" s="385" t="s">
        <v>1363</v>
      </c>
      <c r="V68" s="385" t="s">
        <v>1362</v>
      </c>
      <c r="W68" s="386" t="s">
        <v>3124</v>
      </c>
      <c r="X68" s="324" t="s">
        <v>3362</v>
      </c>
      <c r="Y68" s="324" t="s">
        <v>3399</v>
      </c>
      <c r="Z68" s="322" t="s">
        <v>3384</v>
      </c>
      <c r="AA68" s="392">
        <v>7570</v>
      </c>
    </row>
    <row r="69" spans="17:27" ht="13.8">
      <c r="Q69" s="385">
        <f t="shared" si="0"/>
        <v>63</v>
      </c>
      <c r="R69" s="386" t="s">
        <v>1364</v>
      </c>
      <c r="S69" s="386" t="s">
        <v>1365</v>
      </c>
      <c r="T69" s="387" t="s">
        <v>1237</v>
      </c>
      <c r="U69" s="385" t="s">
        <v>1366</v>
      </c>
      <c r="V69" s="385" t="s">
        <v>1237</v>
      </c>
      <c r="W69" s="386" t="s">
        <v>1237</v>
      </c>
      <c r="X69" s="324" t="s">
        <v>3364</v>
      </c>
      <c r="Y69" s="324" t="s">
        <v>3398</v>
      </c>
      <c r="Z69" s="322" t="s">
        <v>3380</v>
      </c>
      <c r="AA69" s="392">
        <v>9920</v>
      </c>
    </row>
    <row r="70" spans="17:27" ht="13.8">
      <c r="Q70" s="385">
        <f t="shared" si="0"/>
        <v>64</v>
      </c>
      <c r="R70" s="386" t="s">
        <v>1367</v>
      </c>
      <c r="S70" s="386" t="s">
        <v>1368</v>
      </c>
      <c r="T70" s="387" t="s">
        <v>1237</v>
      </c>
      <c r="U70" s="385" t="s">
        <v>1369</v>
      </c>
      <c r="V70" s="385" t="s">
        <v>1368</v>
      </c>
      <c r="W70" s="386" t="s">
        <v>1237</v>
      </c>
      <c r="X70" s="324" t="s">
        <v>3362</v>
      </c>
      <c r="Y70" s="324" t="s">
        <v>3398</v>
      </c>
      <c r="Z70" s="322" t="s">
        <v>3380</v>
      </c>
      <c r="AA70" s="392">
        <v>22594</v>
      </c>
    </row>
    <row r="71" spans="17:27" ht="13.8">
      <c r="Q71" s="385">
        <f t="shared" si="0"/>
        <v>65</v>
      </c>
      <c r="R71" s="386" t="s">
        <v>1370</v>
      </c>
      <c r="S71" s="386" t="s">
        <v>1371</v>
      </c>
      <c r="T71" s="387" t="s">
        <v>1316</v>
      </c>
      <c r="U71" s="385" t="s">
        <v>1372</v>
      </c>
      <c r="V71" s="385" t="s">
        <v>2889</v>
      </c>
      <c r="W71" s="386" t="s">
        <v>2889</v>
      </c>
      <c r="X71" s="324" t="s">
        <v>3363</v>
      </c>
      <c r="Y71" s="324" t="s">
        <v>3398</v>
      </c>
      <c r="Z71" s="322" t="s">
        <v>3379</v>
      </c>
      <c r="AA71" s="392">
        <v>7539</v>
      </c>
    </row>
    <row r="72" spans="17:27" ht="13.8">
      <c r="Q72" s="385">
        <f t="shared" si="0"/>
        <v>66</v>
      </c>
      <c r="R72" s="386" t="s">
        <v>1373</v>
      </c>
      <c r="S72" s="386" t="s">
        <v>1374</v>
      </c>
      <c r="T72" s="387" t="s">
        <v>1197</v>
      </c>
      <c r="U72" s="385" t="s">
        <v>1375</v>
      </c>
      <c r="V72" s="385" t="s">
        <v>1374</v>
      </c>
      <c r="W72" s="386" t="s">
        <v>3125</v>
      </c>
      <c r="X72" s="324" t="s">
        <v>3362</v>
      </c>
      <c r="Y72" s="324" t="s">
        <v>3398</v>
      </c>
      <c r="Z72" s="322" t="s">
        <v>3382</v>
      </c>
      <c r="AA72" s="392">
        <v>8350</v>
      </c>
    </row>
    <row r="73" spans="17:27" ht="13.8">
      <c r="Q73" s="385">
        <f t="shared" ref="Q73:Q136" si="1">Q72+1</f>
        <v>67</v>
      </c>
      <c r="R73" s="386" t="s">
        <v>1376</v>
      </c>
      <c r="S73" s="386" t="s">
        <v>1377</v>
      </c>
      <c r="T73" s="387" t="s">
        <v>1258</v>
      </c>
      <c r="U73" s="385" t="s">
        <v>1378</v>
      </c>
      <c r="V73" s="385" t="s">
        <v>1377</v>
      </c>
      <c r="W73" s="386" t="s">
        <v>3126</v>
      </c>
      <c r="X73" s="324" t="s">
        <v>3362</v>
      </c>
      <c r="Y73" s="324" t="s">
        <v>3398</v>
      </c>
      <c r="Z73" s="322" t="s">
        <v>3379</v>
      </c>
      <c r="AA73" s="392">
        <v>7822</v>
      </c>
    </row>
    <row r="74" spans="17:27" ht="13.8">
      <c r="Q74" s="385">
        <f t="shared" si="1"/>
        <v>68</v>
      </c>
      <c r="R74" s="386" t="s">
        <v>1379</v>
      </c>
      <c r="S74" s="386" t="s">
        <v>1380</v>
      </c>
      <c r="T74" s="387" t="s">
        <v>1293</v>
      </c>
      <c r="U74" s="385" t="s">
        <v>1381</v>
      </c>
      <c r="V74" s="385" t="s">
        <v>2890</v>
      </c>
      <c r="W74" s="386" t="s">
        <v>2890</v>
      </c>
      <c r="X74" s="324" t="s">
        <v>3363</v>
      </c>
      <c r="Y74" s="324" t="s">
        <v>3398</v>
      </c>
      <c r="Z74" s="322" t="s">
        <v>3379</v>
      </c>
      <c r="AA74" s="392">
        <v>1076</v>
      </c>
    </row>
    <row r="75" spans="17:27" ht="13.8">
      <c r="Q75" s="385">
        <f t="shared" si="1"/>
        <v>69</v>
      </c>
      <c r="R75" s="386" t="s">
        <v>1382</v>
      </c>
      <c r="S75" s="386" t="s">
        <v>1383</v>
      </c>
      <c r="T75" s="387" t="s">
        <v>1213</v>
      </c>
      <c r="U75" s="385" t="s">
        <v>1384</v>
      </c>
      <c r="V75" s="385" t="s">
        <v>1213</v>
      </c>
      <c r="W75" s="386" t="s">
        <v>1213</v>
      </c>
      <c r="X75" s="324" t="s">
        <v>3364</v>
      </c>
      <c r="Y75" s="324" t="s">
        <v>3398</v>
      </c>
      <c r="Z75" s="322" t="s">
        <v>3380</v>
      </c>
      <c r="AA75" s="392">
        <v>77344</v>
      </c>
    </row>
    <row r="76" spans="17:27" ht="13.8">
      <c r="Q76" s="385">
        <f t="shared" si="1"/>
        <v>70</v>
      </c>
      <c r="R76" s="386" t="s">
        <v>1385</v>
      </c>
      <c r="S76" s="386" t="s">
        <v>1386</v>
      </c>
      <c r="T76" s="387" t="s">
        <v>1220</v>
      </c>
      <c r="U76" s="385" t="s">
        <v>1387</v>
      </c>
      <c r="V76" s="385" t="s">
        <v>1220</v>
      </c>
      <c r="W76" s="386" t="s">
        <v>1220</v>
      </c>
      <c r="X76" s="324" t="s">
        <v>3364</v>
      </c>
      <c r="Y76" s="324" t="s">
        <v>3398</v>
      </c>
      <c r="Z76" s="322" t="s">
        <v>3385</v>
      </c>
      <c r="AA76" s="392">
        <v>3607</v>
      </c>
    </row>
    <row r="77" spans="17:27" ht="13.8">
      <c r="Q77" s="385">
        <f t="shared" si="1"/>
        <v>71</v>
      </c>
      <c r="R77" s="386" t="s">
        <v>1388</v>
      </c>
      <c r="S77" s="386" t="s">
        <v>1389</v>
      </c>
      <c r="T77" s="387" t="s">
        <v>1220</v>
      </c>
      <c r="U77" s="385" t="s">
        <v>1390</v>
      </c>
      <c r="V77" s="385" t="s">
        <v>2891</v>
      </c>
      <c r="W77" s="386" t="s">
        <v>2891</v>
      </c>
      <c r="X77" s="324" t="s">
        <v>3363</v>
      </c>
      <c r="Y77" s="324" t="s">
        <v>3400</v>
      </c>
      <c r="Z77" s="322" t="s">
        <v>3383</v>
      </c>
      <c r="AA77" s="392">
        <v>291</v>
      </c>
    </row>
    <row r="78" spans="17:27" ht="13.8">
      <c r="Q78" s="385">
        <f t="shared" si="1"/>
        <v>72</v>
      </c>
      <c r="R78" s="386" t="s">
        <v>1391</v>
      </c>
      <c r="S78" s="386" t="s">
        <v>1392</v>
      </c>
      <c r="T78" s="387" t="s">
        <v>1176</v>
      </c>
      <c r="U78" s="385" t="s">
        <v>1393</v>
      </c>
      <c r="V78" s="385" t="s">
        <v>2892</v>
      </c>
      <c r="W78" s="386" t="s">
        <v>2892</v>
      </c>
      <c r="X78" s="324" t="s">
        <v>3363</v>
      </c>
      <c r="Y78" s="324" t="s">
        <v>3398</v>
      </c>
      <c r="Z78" s="322" t="s">
        <v>3379</v>
      </c>
      <c r="AA78" s="392">
        <v>6127</v>
      </c>
    </row>
    <row r="79" spans="17:27" ht="13.8">
      <c r="Q79" s="385">
        <f t="shared" si="1"/>
        <v>73</v>
      </c>
      <c r="R79" s="386" t="s">
        <v>1394</v>
      </c>
      <c r="S79" s="386" t="s">
        <v>1395</v>
      </c>
      <c r="T79" s="387" t="s">
        <v>1186</v>
      </c>
      <c r="U79" s="385" t="s">
        <v>1396</v>
      </c>
      <c r="V79" s="385" t="s">
        <v>1395</v>
      </c>
      <c r="W79" s="386" t="s">
        <v>3127</v>
      </c>
      <c r="X79" s="324" t="s">
        <v>3362</v>
      </c>
      <c r="Y79" s="324" t="s">
        <v>3399</v>
      </c>
      <c r="Z79" s="322" t="s">
        <v>3384</v>
      </c>
      <c r="AA79" s="392">
        <v>8049</v>
      </c>
    </row>
    <row r="80" spans="17:27" ht="13.8">
      <c r="Q80" s="385">
        <f t="shared" si="1"/>
        <v>74</v>
      </c>
      <c r="R80" s="386" t="s">
        <v>1397</v>
      </c>
      <c r="S80" s="386" t="s">
        <v>1398</v>
      </c>
      <c r="T80" s="387" t="s">
        <v>1399</v>
      </c>
      <c r="U80" s="385" t="s">
        <v>1400</v>
      </c>
      <c r="V80" s="385" t="s">
        <v>2893</v>
      </c>
      <c r="W80" s="386" t="s">
        <v>2893</v>
      </c>
      <c r="X80" s="324" t="s">
        <v>3363</v>
      </c>
      <c r="Y80" s="324" t="s">
        <v>3398</v>
      </c>
      <c r="Z80" s="322" t="s">
        <v>3379</v>
      </c>
      <c r="AA80" s="392">
        <v>22844</v>
      </c>
    </row>
    <row r="81" spans="17:27" ht="13.8">
      <c r="Q81" s="385">
        <f t="shared" si="1"/>
        <v>75</v>
      </c>
      <c r="R81" s="386" t="s">
        <v>1401</v>
      </c>
      <c r="S81" s="386" t="s">
        <v>1402</v>
      </c>
      <c r="T81" s="387" t="s">
        <v>1258</v>
      </c>
      <c r="U81" s="385" t="s">
        <v>1403</v>
      </c>
      <c r="V81" s="385" t="s">
        <v>1402</v>
      </c>
      <c r="W81" s="386" t="s">
        <v>3128</v>
      </c>
      <c r="X81" s="324" t="s">
        <v>3362</v>
      </c>
      <c r="Y81" s="324" t="s">
        <v>3398</v>
      </c>
      <c r="Z81" s="322" t="s">
        <v>3385</v>
      </c>
      <c r="AA81" s="392">
        <v>12411</v>
      </c>
    </row>
    <row r="82" spans="17:27" ht="13.8">
      <c r="Q82" s="385">
        <f t="shared" si="1"/>
        <v>76</v>
      </c>
      <c r="R82" s="386" t="s">
        <v>1404</v>
      </c>
      <c r="S82" s="386" t="s">
        <v>1405</v>
      </c>
      <c r="T82" s="387" t="s">
        <v>1316</v>
      </c>
      <c r="U82" s="385" t="s">
        <v>1406</v>
      </c>
      <c r="V82" s="385" t="s">
        <v>2894</v>
      </c>
      <c r="W82" s="386" t="s">
        <v>2894</v>
      </c>
      <c r="X82" s="324" t="s">
        <v>3363</v>
      </c>
      <c r="Y82" s="324" t="s">
        <v>3398</v>
      </c>
      <c r="Z82" s="322" t="s">
        <v>3379</v>
      </c>
      <c r="AA82" s="392">
        <v>8962</v>
      </c>
    </row>
    <row r="83" spans="17:27" ht="13.8">
      <c r="Q83" s="385">
        <f t="shared" si="1"/>
        <v>77</v>
      </c>
      <c r="R83" s="386" t="s">
        <v>1407</v>
      </c>
      <c r="S83" s="386" t="s">
        <v>1408</v>
      </c>
      <c r="T83" s="387" t="s">
        <v>1316</v>
      </c>
      <c r="U83" s="385" t="s">
        <v>1409</v>
      </c>
      <c r="V83" s="385" t="s">
        <v>1408</v>
      </c>
      <c r="W83" s="386" t="s">
        <v>2894</v>
      </c>
      <c r="X83" s="324" t="s">
        <v>3362</v>
      </c>
      <c r="Y83" s="324" t="s">
        <v>3399</v>
      </c>
      <c r="Z83" s="322" t="s">
        <v>3384</v>
      </c>
      <c r="AA83" s="392">
        <v>10452</v>
      </c>
    </row>
    <row r="84" spans="17:27" ht="13.8">
      <c r="Q84" s="385">
        <f t="shared" si="1"/>
        <v>78</v>
      </c>
      <c r="R84" s="386" t="s">
        <v>1410</v>
      </c>
      <c r="S84" s="386" t="s">
        <v>1411</v>
      </c>
      <c r="T84" s="387" t="s">
        <v>1213</v>
      </c>
      <c r="U84" s="385" t="s">
        <v>1412</v>
      </c>
      <c r="V84" s="385" t="s">
        <v>1411</v>
      </c>
      <c r="W84" s="386" t="s">
        <v>3129</v>
      </c>
      <c r="X84" s="324" t="s">
        <v>3362</v>
      </c>
      <c r="Y84" s="324" t="s">
        <v>3398</v>
      </c>
      <c r="Z84" s="322" t="s">
        <v>3380</v>
      </c>
      <c r="AA84" s="392">
        <v>71045</v>
      </c>
    </row>
    <row r="85" spans="17:27" ht="13.8">
      <c r="Q85" s="385">
        <f t="shared" si="1"/>
        <v>79</v>
      </c>
      <c r="R85" s="386" t="s">
        <v>1413</v>
      </c>
      <c r="S85" s="386" t="s">
        <v>1414</v>
      </c>
      <c r="T85" s="387" t="s">
        <v>1213</v>
      </c>
      <c r="U85" s="385" t="s">
        <v>1415</v>
      </c>
      <c r="V85" s="385" t="s">
        <v>2895</v>
      </c>
      <c r="W85" s="386" t="s">
        <v>2895</v>
      </c>
      <c r="X85" s="324" t="s">
        <v>3363</v>
      </c>
      <c r="Y85" s="324" t="s">
        <v>3398</v>
      </c>
      <c r="Z85" s="322" t="s">
        <v>3379</v>
      </c>
      <c r="AA85" s="392">
        <v>1634</v>
      </c>
    </row>
    <row r="86" spans="17:27" ht="13.8">
      <c r="Q86" s="385">
        <f t="shared" si="1"/>
        <v>80</v>
      </c>
      <c r="R86" s="386" t="s">
        <v>1416</v>
      </c>
      <c r="S86" s="386" t="s">
        <v>1417</v>
      </c>
      <c r="T86" s="387" t="s">
        <v>1316</v>
      </c>
      <c r="U86" s="385" t="s">
        <v>1418</v>
      </c>
      <c r="V86" s="385" t="s">
        <v>2896</v>
      </c>
      <c r="W86" s="386" t="s">
        <v>2896</v>
      </c>
      <c r="X86" s="324" t="s">
        <v>3363</v>
      </c>
      <c r="Y86" s="324" t="s">
        <v>3398</v>
      </c>
      <c r="Z86" s="322" t="s">
        <v>3379</v>
      </c>
      <c r="AA86" s="392">
        <v>1649</v>
      </c>
    </row>
    <row r="87" spans="17:27" ht="13.8">
      <c r="Q87" s="385">
        <f t="shared" si="1"/>
        <v>81</v>
      </c>
      <c r="R87" s="386" t="s">
        <v>1419</v>
      </c>
      <c r="S87" s="386" t="s">
        <v>1420</v>
      </c>
      <c r="T87" s="387" t="s">
        <v>1316</v>
      </c>
      <c r="U87" s="385" t="s">
        <v>1421</v>
      </c>
      <c r="V87" s="385" t="s">
        <v>1420</v>
      </c>
      <c r="W87" s="386" t="s">
        <v>2896</v>
      </c>
      <c r="X87" s="324" t="s">
        <v>3362</v>
      </c>
      <c r="Y87" s="324" t="s">
        <v>3398</v>
      </c>
      <c r="Z87" s="322" t="s">
        <v>3382</v>
      </c>
      <c r="AA87" s="392">
        <v>7838</v>
      </c>
    </row>
    <row r="88" spans="17:27" ht="13.8">
      <c r="Q88" s="385">
        <f t="shared" si="1"/>
        <v>82</v>
      </c>
      <c r="R88" s="386" t="s">
        <v>1422</v>
      </c>
      <c r="S88" s="386" t="s">
        <v>1423</v>
      </c>
      <c r="T88" s="387" t="s">
        <v>1237</v>
      </c>
      <c r="U88" s="385" t="s">
        <v>1424</v>
      </c>
      <c r="V88" s="385" t="s">
        <v>1423</v>
      </c>
      <c r="W88" s="386" t="s">
        <v>3130</v>
      </c>
      <c r="X88" s="324" t="s">
        <v>3362</v>
      </c>
      <c r="Y88" s="324" t="s">
        <v>3399</v>
      </c>
      <c r="Z88" s="322" t="s">
        <v>3381</v>
      </c>
      <c r="AA88" s="392">
        <v>7699</v>
      </c>
    </row>
    <row r="89" spans="17:27" ht="13.8">
      <c r="Q89" s="385">
        <f t="shared" si="1"/>
        <v>83</v>
      </c>
      <c r="R89" s="386" t="s">
        <v>1425</v>
      </c>
      <c r="S89" s="386" t="s">
        <v>1426</v>
      </c>
      <c r="T89" s="387" t="s">
        <v>1237</v>
      </c>
      <c r="U89" s="385" t="s">
        <v>1427</v>
      </c>
      <c r="V89" s="385" t="s">
        <v>1426</v>
      </c>
      <c r="W89" s="386" t="s">
        <v>3131</v>
      </c>
      <c r="X89" s="324" t="s">
        <v>3362</v>
      </c>
      <c r="Y89" s="324" t="s">
        <v>3399</v>
      </c>
      <c r="Z89" s="322" t="s">
        <v>3384</v>
      </c>
      <c r="AA89" s="392">
        <v>15569</v>
      </c>
    </row>
    <row r="90" spans="17:27" ht="13.8">
      <c r="Q90" s="385">
        <f t="shared" si="1"/>
        <v>84</v>
      </c>
      <c r="R90" s="386" t="s">
        <v>1428</v>
      </c>
      <c r="S90" s="386" t="s">
        <v>1429</v>
      </c>
      <c r="T90" s="387" t="s">
        <v>1274</v>
      </c>
      <c r="U90" s="385" t="s">
        <v>1430</v>
      </c>
      <c r="V90" s="385" t="s">
        <v>1429</v>
      </c>
      <c r="W90" s="386" t="s">
        <v>3132</v>
      </c>
      <c r="X90" s="324" t="s">
        <v>3362</v>
      </c>
      <c r="Y90" s="324" t="s">
        <v>3398</v>
      </c>
      <c r="Z90" s="322" t="s">
        <v>3379</v>
      </c>
      <c r="AA90" s="392">
        <v>14756</v>
      </c>
    </row>
    <row r="91" spans="17:27" ht="13.8">
      <c r="Q91" s="385">
        <f t="shared" si="1"/>
        <v>85</v>
      </c>
      <c r="R91" s="386" t="s">
        <v>1431</v>
      </c>
      <c r="S91" s="386" t="s">
        <v>1432</v>
      </c>
      <c r="T91" s="387" t="s">
        <v>1433</v>
      </c>
      <c r="U91" s="385" t="s">
        <v>1434</v>
      </c>
      <c r="V91" s="385" t="s">
        <v>2897</v>
      </c>
      <c r="W91" s="386" t="s">
        <v>2897</v>
      </c>
      <c r="X91" s="324" t="s">
        <v>3363</v>
      </c>
      <c r="Y91" s="324" t="s">
        <v>3398</v>
      </c>
      <c r="Z91" s="322" t="s">
        <v>3379</v>
      </c>
      <c r="AA91" s="392">
        <v>8179</v>
      </c>
    </row>
    <row r="92" spans="17:27" ht="13.8">
      <c r="Q92" s="385">
        <f t="shared" si="1"/>
        <v>86</v>
      </c>
      <c r="R92" s="386" t="s">
        <v>1435</v>
      </c>
      <c r="S92" s="386" t="s">
        <v>1436</v>
      </c>
      <c r="T92" s="387" t="s">
        <v>1213</v>
      </c>
      <c r="U92" s="385" t="s">
        <v>1437</v>
      </c>
      <c r="V92" s="385" t="s">
        <v>2898</v>
      </c>
      <c r="W92" s="386" t="s">
        <v>2898</v>
      </c>
      <c r="X92" s="324" t="s">
        <v>3363</v>
      </c>
      <c r="Y92" s="324" t="s">
        <v>3398</v>
      </c>
      <c r="Z92" s="322" t="s">
        <v>3379</v>
      </c>
      <c r="AA92" s="392">
        <v>5000</v>
      </c>
    </row>
    <row r="93" spans="17:27" ht="13.8">
      <c r="Q93" s="385">
        <f t="shared" si="1"/>
        <v>87</v>
      </c>
      <c r="R93" s="386" t="s">
        <v>1438</v>
      </c>
      <c r="S93" s="386" t="s">
        <v>1439</v>
      </c>
      <c r="T93" s="387" t="s">
        <v>1176</v>
      </c>
      <c r="U93" s="385" t="s">
        <v>1440</v>
      </c>
      <c r="V93" s="385" t="s">
        <v>2899</v>
      </c>
      <c r="W93" s="386" t="s">
        <v>2899</v>
      </c>
      <c r="X93" s="324" t="s">
        <v>3363</v>
      </c>
      <c r="Y93" s="324" t="s">
        <v>3398</v>
      </c>
      <c r="Z93" s="322" t="s">
        <v>3379</v>
      </c>
      <c r="AA93" s="392">
        <v>23594</v>
      </c>
    </row>
    <row r="94" spans="17:27" ht="13.8">
      <c r="Q94" s="385">
        <f t="shared" si="1"/>
        <v>88</v>
      </c>
      <c r="R94" s="386" t="s">
        <v>1441</v>
      </c>
      <c r="S94" s="386" t="s">
        <v>1442</v>
      </c>
      <c r="T94" s="387" t="s">
        <v>1306</v>
      </c>
      <c r="U94" s="385" t="s">
        <v>1443</v>
      </c>
      <c r="V94" s="385" t="s">
        <v>3313</v>
      </c>
      <c r="W94" s="386" t="s">
        <v>3313</v>
      </c>
      <c r="X94" s="324" t="s">
        <v>3364</v>
      </c>
      <c r="Y94" s="324" t="s">
        <v>3398</v>
      </c>
      <c r="Z94" s="322" t="s">
        <v>3388</v>
      </c>
      <c r="AA94" s="392">
        <v>84136</v>
      </c>
    </row>
    <row r="95" spans="17:27" ht="13.8">
      <c r="Q95" s="385">
        <f t="shared" si="1"/>
        <v>89</v>
      </c>
      <c r="R95" s="386" t="s">
        <v>1444</v>
      </c>
      <c r="S95" s="386" t="s">
        <v>1445</v>
      </c>
      <c r="T95" s="387" t="s">
        <v>1293</v>
      </c>
      <c r="U95" s="385" t="s">
        <v>1446</v>
      </c>
      <c r="V95" s="385" t="s">
        <v>3133</v>
      </c>
      <c r="W95" s="386" t="s">
        <v>3133</v>
      </c>
      <c r="X95" s="324" t="s">
        <v>2856</v>
      </c>
      <c r="Y95" s="324" t="s">
        <v>3398</v>
      </c>
      <c r="Z95" s="322" t="s">
        <v>3379</v>
      </c>
      <c r="AA95" s="392">
        <v>2719</v>
      </c>
    </row>
    <row r="96" spans="17:27" ht="13.8">
      <c r="Q96" s="385">
        <f t="shared" si="1"/>
        <v>90</v>
      </c>
      <c r="R96" s="386" t="s">
        <v>1447</v>
      </c>
      <c r="S96" s="386" t="s">
        <v>1448</v>
      </c>
      <c r="T96" s="387" t="s">
        <v>1293</v>
      </c>
      <c r="U96" s="385" t="s">
        <v>1449</v>
      </c>
      <c r="V96" s="385" t="s">
        <v>1448</v>
      </c>
      <c r="W96" s="386" t="s">
        <v>3133</v>
      </c>
      <c r="X96" s="324" t="s">
        <v>3362</v>
      </c>
      <c r="Y96" s="324" t="s">
        <v>3398</v>
      </c>
      <c r="Z96" s="322" t="s">
        <v>3382</v>
      </c>
      <c r="AA96" s="392">
        <v>13478</v>
      </c>
    </row>
    <row r="97" spans="17:27" ht="13.8">
      <c r="Q97" s="385">
        <f t="shared" si="1"/>
        <v>91</v>
      </c>
      <c r="R97" s="386" t="s">
        <v>1450</v>
      </c>
      <c r="S97" s="386" t="s">
        <v>1451</v>
      </c>
      <c r="T97" s="387" t="s">
        <v>1176</v>
      </c>
      <c r="U97" s="385" t="s">
        <v>1452</v>
      </c>
      <c r="V97" s="385" t="s">
        <v>2900</v>
      </c>
      <c r="W97" s="386" t="s">
        <v>2900</v>
      </c>
      <c r="X97" s="324" t="s">
        <v>3363</v>
      </c>
      <c r="Y97" s="324" t="s">
        <v>3398</v>
      </c>
      <c r="Z97" s="322" t="s">
        <v>3379</v>
      </c>
      <c r="AA97" s="392">
        <v>8373</v>
      </c>
    </row>
    <row r="98" spans="17:27" ht="13.8">
      <c r="Q98" s="385">
        <f t="shared" si="1"/>
        <v>92</v>
      </c>
      <c r="R98" s="386" t="s">
        <v>1453</v>
      </c>
      <c r="S98" s="386" t="s">
        <v>1454</v>
      </c>
      <c r="T98" s="387" t="s">
        <v>1213</v>
      </c>
      <c r="U98" s="385" t="s">
        <v>1455</v>
      </c>
      <c r="V98" s="385" t="s">
        <v>2901</v>
      </c>
      <c r="W98" s="386" t="s">
        <v>2901</v>
      </c>
      <c r="X98" s="324" t="s">
        <v>3363</v>
      </c>
      <c r="Y98" s="324" t="s">
        <v>3400</v>
      </c>
      <c r="Z98" s="322" t="s">
        <v>3383</v>
      </c>
      <c r="AA98" s="392">
        <v>13926</v>
      </c>
    </row>
    <row r="99" spans="17:27" ht="13.8">
      <c r="Q99" s="385">
        <f t="shared" si="1"/>
        <v>93</v>
      </c>
      <c r="R99" s="386" t="s">
        <v>1456</v>
      </c>
      <c r="S99" s="386" t="s">
        <v>1457</v>
      </c>
      <c r="T99" s="387" t="s">
        <v>1168</v>
      </c>
      <c r="U99" s="385" t="s">
        <v>1458</v>
      </c>
      <c r="V99" s="385" t="s">
        <v>1457</v>
      </c>
      <c r="W99" s="386" t="s">
        <v>3134</v>
      </c>
      <c r="X99" s="324" t="s">
        <v>3362</v>
      </c>
      <c r="Y99" s="324" t="s">
        <v>3399</v>
      </c>
      <c r="Z99" s="322" t="s">
        <v>3384</v>
      </c>
      <c r="AA99" s="392">
        <v>10142</v>
      </c>
    </row>
    <row r="100" spans="17:27" ht="13.8">
      <c r="Q100" s="385">
        <f t="shared" si="1"/>
        <v>94</v>
      </c>
      <c r="R100" s="386" t="s">
        <v>1459</v>
      </c>
      <c r="S100" s="386" t="s">
        <v>1460</v>
      </c>
      <c r="T100" s="387" t="s">
        <v>1344</v>
      </c>
      <c r="U100" s="385" t="s">
        <v>1461</v>
      </c>
      <c r="V100" s="385" t="s">
        <v>1460</v>
      </c>
      <c r="W100" s="386" t="s">
        <v>3135</v>
      </c>
      <c r="X100" s="324" t="s">
        <v>3362</v>
      </c>
      <c r="Y100" s="324" t="s">
        <v>3399</v>
      </c>
      <c r="Z100" s="322" t="s">
        <v>3381</v>
      </c>
      <c r="AA100" s="392">
        <v>5178</v>
      </c>
    </row>
    <row r="101" spans="17:27" ht="13.8">
      <c r="Q101" s="385">
        <f t="shared" si="1"/>
        <v>95</v>
      </c>
      <c r="R101" s="386" t="s">
        <v>1462</v>
      </c>
      <c r="S101" s="386" t="s">
        <v>1463</v>
      </c>
      <c r="T101" s="387" t="s">
        <v>1172</v>
      </c>
      <c r="U101" s="385" t="s">
        <v>1464</v>
      </c>
      <c r="V101" s="385" t="s">
        <v>1463</v>
      </c>
      <c r="W101" s="386" t="s">
        <v>1463</v>
      </c>
      <c r="X101" s="324" t="s">
        <v>3364</v>
      </c>
      <c r="Y101" s="324" t="s">
        <v>3398</v>
      </c>
      <c r="Z101" s="322" t="s">
        <v>3390</v>
      </c>
      <c r="AA101" s="392">
        <v>492</v>
      </c>
    </row>
    <row r="102" spans="17:27" ht="13.8">
      <c r="Q102" s="385">
        <f t="shared" si="1"/>
        <v>96</v>
      </c>
      <c r="R102" s="386" t="s">
        <v>1465</v>
      </c>
      <c r="S102" s="386" t="s">
        <v>1466</v>
      </c>
      <c r="T102" s="387" t="s">
        <v>1399</v>
      </c>
      <c r="U102" s="385" t="s">
        <v>1467</v>
      </c>
      <c r="V102" s="385" t="s">
        <v>1466</v>
      </c>
      <c r="W102" s="386" t="s">
        <v>3136</v>
      </c>
      <c r="X102" s="324" t="s">
        <v>3362</v>
      </c>
      <c r="Y102" s="324" t="s">
        <v>3399</v>
      </c>
      <c r="Z102" s="322" t="s">
        <v>3384</v>
      </c>
      <c r="AA102" s="392">
        <v>3857</v>
      </c>
    </row>
    <row r="103" spans="17:27" ht="13.8">
      <c r="Q103" s="385">
        <f t="shared" si="1"/>
        <v>97</v>
      </c>
      <c r="R103" s="386" t="s">
        <v>1468</v>
      </c>
      <c r="S103" s="386" t="s">
        <v>1469</v>
      </c>
      <c r="T103" s="387" t="s">
        <v>1274</v>
      </c>
      <c r="U103" s="385" t="s">
        <v>1470</v>
      </c>
      <c r="V103" s="385" t="s">
        <v>1469</v>
      </c>
      <c r="W103" s="386" t="s">
        <v>3137</v>
      </c>
      <c r="X103" s="324" t="s">
        <v>3362</v>
      </c>
      <c r="Y103" s="324" t="s">
        <v>3399</v>
      </c>
      <c r="Z103" s="322" t="s">
        <v>3384</v>
      </c>
      <c r="AA103" s="392">
        <v>22625</v>
      </c>
    </row>
    <row r="104" spans="17:27" ht="13.8">
      <c r="Q104" s="385">
        <f t="shared" si="1"/>
        <v>98</v>
      </c>
      <c r="R104" s="386" t="s">
        <v>1471</v>
      </c>
      <c r="S104" s="386" t="s">
        <v>1472</v>
      </c>
      <c r="T104" s="387" t="s">
        <v>1176</v>
      </c>
      <c r="U104" s="385" t="s">
        <v>1473</v>
      </c>
      <c r="V104" s="385" t="s">
        <v>2902</v>
      </c>
      <c r="W104" s="386" t="s">
        <v>2902</v>
      </c>
      <c r="X104" s="324" t="s">
        <v>3363</v>
      </c>
      <c r="Y104" s="324" t="s">
        <v>3398</v>
      </c>
      <c r="Z104" s="322" t="s">
        <v>3379</v>
      </c>
      <c r="AA104" s="392">
        <v>8573</v>
      </c>
    </row>
    <row r="105" spans="17:27" ht="13.8">
      <c r="Q105" s="385">
        <f t="shared" si="1"/>
        <v>99</v>
      </c>
      <c r="R105" s="386" t="s">
        <v>1474</v>
      </c>
      <c r="S105" s="386" t="s">
        <v>1475</v>
      </c>
      <c r="T105" s="387" t="s">
        <v>1168</v>
      </c>
      <c r="U105" s="385" t="s">
        <v>1476</v>
      </c>
      <c r="V105" s="385" t="s">
        <v>2903</v>
      </c>
      <c r="W105" s="386" t="s">
        <v>2903</v>
      </c>
      <c r="X105" s="324" t="s">
        <v>3363</v>
      </c>
      <c r="Y105" s="324" t="s">
        <v>3400</v>
      </c>
      <c r="Z105" s="322" t="s">
        <v>3383</v>
      </c>
      <c r="AA105" s="392">
        <v>750</v>
      </c>
    </row>
    <row r="106" spans="17:27" ht="13.8">
      <c r="Q106" s="385">
        <f t="shared" si="1"/>
        <v>100</v>
      </c>
      <c r="R106" s="386" t="s">
        <v>1477</v>
      </c>
      <c r="S106" s="386" t="s">
        <v>1478</v>
      </c>
      <c r="T106" s="387" t="s">
        <v>1344</v>
      </c>
      <c r="U106" s="385" t="s">
        <v>1479</v>
      </c>
      <c r="V106" s="385" t="s">
        <v>1478</v>
      </c>
      <c r="W106" s="386" t="s">
        <v>3138</v>
      </c>
      <c r="X106" s="324" t="s">
        <v>3362</v>
      </c>
      <c r="Y106" s="324" t="s">
        <v>3399</v>
      </c>
      <c r="Z106" s="322" t="s">
        <v>3384</v>
      </c>
      <c r="AA106" s="392">
        <v>3119</v>
      </c>
    </row>
    <row r="107" spans="17:27" ht="13.8">
      <c r="Q107" s="385">
        <f t="shared" si="1"/>
        <v>101</v>
      </c>
      <c r="R107" s="386" t="s">
        <v>1480</v>
      </c>
      <c r="S107" s="386" t="s">
        <v>1481</v>
      </c>
      <c r="T107" s="387" t="s">
        <v>1237</v>
      </c>
      <c r="U107" s="385" t="s">
        <v>1482</v>
      </c>
      <c r="V107" s="385" t="s">
        <v>1481</v>
      </c>
      <c r="W107" s="386" t="s">
        <v>3139</v>
      </c>
      <c r="X107" s="324" t="s">
        <v>3362</v>
      </c>
      <c r="Y107" s="324" t="s">
        <v>3399</v>
      </c>
      <c r="Z107" s="322" t="s">
        <v>3384</v>
      </c>
      <c r="AA107" s="392">
        <v>4283</v>
      </c>
    </row>
    <row r="108" spans="17:27" ht="13.8">
      <c r="Q108" s="385">
        <f t="shared" si="1"/>
        <v>102</v>
      </c>
      <c r="R108" s="386" t="s">
        <v>1483</v>
      </c>
      <c r="S108" s="386" t="s">
        <v>1484</v>
      </c>
      <c r="T108" s="387" t="s">
        <v>1293</v>
      </c>
      <c r="U108" s="385" t="s">
        <v>1485</v>
      </c>
      <c r="V108" s="385" t="s">
        <v>1484</v>
      </c>
      <c r="W108" s="386" t="s">
        <v>3140</v>
      </c>
      <c r="X108" s="324" t="s">
        <v>3362</v>
      </c>
      <c r="Y108" s="324" t="s">
        <v>3399</v>
      </c>
      <c r="Z108" s="322" t="s">
        <v>3384</v>
      </c>
      <c r="AA108" s="392">
        <v>4563</v>
      </c>
    </row>
    <row r="109" spans="17:27" ht="13.8">
      <c r="Q109" s="385">
        <f t="shared" si="1"/>
        <v>103</v>
      </c>
      <c r="R109" s="386" t="s">
        <v>1486</v>
      </c>
      <c r="S109" s="386" t="s">
        <v>1487</v>
      </c>
      <c r="T109" s="387" t="s">
        <v>1237</v>
      </c>
      <c r="U109" s="385" t="s">
        <v>1488</v>
      </c>
      <c r="V109" s="385" t="s">
        <v>1487</v>
      </c>
      <c r="W109" s="386" t="s">
        <v>3141</v>
      </c>
      <c r="X109" s="324" t="s">
        <v>3362</v>
      </c>
      <c r="Y109" s="324" t="s">
        <v>3398</v>
      </c>
      <c r="Z109" s="322" t="s">
        <v>3387</v>
      </c>
      <c r="AA109" s="392">
        <v>16896</v>
      </c>
    </row>
    <row r="110" spans="17:27" ht="13.8">
      <c r="Q110" s="385">
        <f t="shared" si="1"/>
        <v>104</v>
      </c>
      <c r="R110" s="386" t="s">
        <v>1489</v>
      </c>
      <c r="S110" s="386" t="s">
        <v>1490</v>
      </c>
      <c r="T110" s="387" t="s">
        <v>1176</v>
      </c>
      <c r="U110" s="385" t="s">
        <v>1491</v>
      </c>
      <c r="V110" s="385" t="s">
        <v>2904</v>
      </c>
      <c r="W110" s="386" t="s">
        <v>2904</v>
      </c>
      <c r="X110" s="324" t="s">
        <v>3363</v>
      </c>
      <c r="Y110" s="324" t="s">
        <v>3398</v>
      </c>
      <c r="Z110" s="322" t="s">
        <v>3379</v>
      </c>
      <c r="AA110" s="392">
        <v>4881</v>
      </c>
    </row>
    <row r="111" spans="17:27" ht="13.8">
      <c r="Q111" s="385">
        <f t="shared" si="1"/>
        <v>105</v>
      </c>
      <c r="R111" s="386" t="s">
        <v>1492</v>
      </c>
      <c r="S111" s="386" t="s">
        <v>1493</v>
      </c>
      <c r="T111" s="387" t="s">
        <v>1220</v>
      </c>
      <c r="U111" s="385" t="s">
        <v>1494</v>
      </c>
      <c r="V111" s="385" t="s">
        <v>1493</v>
      </c>
      <c r="W111" s="386" t="s">
        <v>3142</v>
      </c>
      <c r="X111" s="324" t="s">
        <v>3362</v>
      </c>
      <c r="Y111" s="324" t="s">
        <v>3399</v>
      </c>
      <c r="Z111" s="322" t="s">
        <v>3384</v>
      </c>
      <c r="AA111" s="392">
        <v>6467</v>
      </c>
    </row>
    <row r="112" spans="17:27" ht="13.8">
      <c r="Q112" s="385">
        <f t="shared" si="1"/>
        <v>106</v>
      </c>
      <c r="R112" s="386" t="s">
        <v>1495</v>
      </c>
      <c r="S112" s="386" t="s">
        <v>1496</v>
      </c>
      <c r="T112" s="387" t="s">
        <v>1316</v>
      </c>
      <c r="U112" s="385" t="s">
        <v>1497</v>
      </c>
      <c r="V112" s="385" t="s">
        <v>1496</v>
      </c>
      <c r="W112" s="386" t="s">
        <v>3143</v>
      </c>
      <c r="X112" s="324" t="s">
        <v>3362</v>
      </c>
      <c r="Y112" s="324" t="s">
        <v>3398</v>
      </c>
      <c r="Z112" s="322" t="s">
        <v>3380</v>
      </c>
      <c r="AA112" s="392">
        <v>16635</v>
      </c>
    </row>
    <row r="113" spans="17:27" ht="13.8">
      <c r="Q113" s="385">
        <f t="shared" si="1"/>
        <v>107</v>
      </c>
      <c r="R113" s="386" t="s">
        <v>1498</v>
      </c>
      <c r="S113" s="386" t="s">
        <v>1499</v>
      </c>
      <c r="T113" s="387" t="s">
        <v>1433</v>
      </c>
      <c r="U113" s="385" t="s">
        <v>1500</v>
      </c>
      <c r="V113" s="385" t="s">
        <v>1499</v>
      </c>
      <c r="W113" s="386" t="s">
        <v>3144</v>
      </c>
      <c r="X113" s="324" t="s">
        <v>3362</v>
      </c>
      <c r="Y113" s="324" t="s">
        <v>3398</v>
      </c>
      <c r="Z113" s="322" t="s">
        <v>3388</v>
      </c>
      <c r="AA113" s="392">
        <v>30561</v>
      </c>
    </row>
    <row r="114" spans="17:27" ht="13.8">
      <c r="Q114" s="385">
        <f t="shared" si="1"/>
        <v>108</v>
      </c>
      <c r="R114" s="386" t="s">
        <v>1501</v>
      </c>
      <c r="S114" s="386" t="s">
        <v>1502</v>
      </c>
      <c r="T114" s="387" t="s">
        <v>1316</v>
      </c>
      <c r="U114" s="385" t="s">
        <v>1503</v>
      </c>
      <c r="V114" s="385" t="s">
        <v>3347</v>
      </c>
      <c r="W114" s="386" t="s">
        <v>3347</v>
      </c>
      <c r="X114" s="324" t="s">
        <v>2856</v>
      </c>
      <c r="Y114" s="324" t="s">
        <v>3401</v>
      </c>
      <c r="Z114" s="322" t="s">
        <v>3389</v>
      </c>
      <c r="AA114" s="392">
        <v>18157</v>
      </c>
    </row>
    <row r="115" spans="17:27" ht="13.8">
      <c r="Q115" s="385">
        <f t="shared" si="1"/>
        <v>109</v>
      </c>
      <c r="R115" s="386" t="s">
        <v>1504</v>
      </c>
      <c r="S115" s="386" t="s">
        <v>1505</v>
      </c>
      <c r="T115" s="387" t="s">
        <v>1344</v>
      </c>
      <c r="U115" s="385" t="s">
        <v>1506</v>
      </c>
      <c r="V115" s="385" t="s">
        <v>1505</v>
      </c>
      <c r="W115" s="386" t="s">
        <v>3145</v>
      </c>
      <c r="X115" s="324" t="s">
        <v>3362</v>
      </c>
      <c r="Y115" s="324" t="s">
        <v>3399</v>
      </c>
      <c r="Z115" s="322" t="s">
        <v>3381</v>
      </c>
      <c r="AA115" s="392">
        <v>1585</v>
      </c>
    </row>
    <row r="116" spans="17:27" ht="13.8">
      <c r="Q116" s="385">
        <f t="shared" si="1"/>
        <v>110</v>
      </c>
      <c r="R116" s="386" t="s">
        <v>1507</v>
      </c>
      <c r="S116" s="386" t="s">
        <v>1508</v>
      </c>
      <c r="T116" s="387" t="s">
        <v>1176</v>
      </c>
      <c r="U116" s="385" t="s">
        <v>1509</v>
      </c>
      <c r="V116" s="385" t="s">
        <v>2905</v>
      </c>
      <c r="W116" s="386" t="s">
        <v>2905</v>
      </c>
      <c r="X116" s="324" t="s">
        <v>3363</v>
      </c>
      <c r="Y116" s="324" t="s">
        <v>3398</v>
      </c>
      <c r="Z116" s="322" t="s">
        <v>3379</v>
      </c>
      <c r="AA116" s="392">
        <v>17479</v>
      </c>
    </row>
    <row r="117" spans="17:27" ht="13.8">
      <c r="Q117" s="385">
        <f t="shared" si="1"/>
        <v>111</v>
      </c>
      <c r="R117" s="386" t="s">
        <v>1510</v>
      </c>
      <c r="S117" s="386" t="s">
        <v>1511</v>
      </c>
      <c r="T117" s="387" t="s">
        <v>1399</v>
      </c>
      <c r="U117" s="385" t="s">
        <v>1512</v>
      </c>
      <c r="V117" s="385" t="s">
        <v>2906</v>
      </c>
      <c r="W117" s="386" t="s">
        <v>2906</v>
      </c>
      <c r="X117" s="324" t="s">
        <v>3363</v>
      </c>
      <c r="Y117" s="324" t="s">
        <v>3398</v>
      </c>
      <c r="Z117" s="322" t="s">
        <v>3379</v>
      </c>
      <c r="AA117" s="392">
        <v>7227</v>
      </c>
    </row>
    <row r="118" spans="17:27" ht="13.8">
      <c r="Q118" s="385">
        <f t="shared" si="1"/>
        <v>112</v>
      </c>
      <c r="R118" s="386" t="s">
        <v>1513</v>
      </c>
      <c r="S118" s="386" t="s">
        <v>1514</v>
      </c>
      <c r="T118" s="387" t="s">
        <v>1227</v>
      </c>
      <c r="U118" s="385" t="s">
        <v>1515</v>
      </c>
      <c r="V118" s="385" t="s">
        <v>1514</v>
      </c>
      <c r="W118" s="386" t="s">
        <v>3146</v>
      </c>
      <c r="X118" s="324" t="s">
        <v>3362</v>
      </c>
      <c r="Y118" s="324" t="s">
        <v>3399</v>
      </c>
      <c r="Z118" s="322" t="s">
        <v>3381</v>
      </c>
      <c r="AA118" s="392">
        <v>1603</v>
      </c>
    </row>
    <row r="119" spans="17:27" ht="13.8">
      <c r="Q119" s="385">
        <f t="shared" si="1"/>
        <v>113</v>
      </c>
      <c r="R119" s="386" t="s">
        <v>1516</v>
      </c>
      <c r="S119" s="386" t="s">
        <v>1517</v>
      </c>
      <c r="T119" s="387" t="s">
        <v>1293</v>
      </c>
      <c r="U119" s="385" t="s">
        <v>1518</v>
      </c>
      <c r="V119" s="385" t="s">
        <v>1517</v>
      </c>
      <c r="W119" s="386" t="s">
        <v>3147</v>
      </c>
      <c r="X119" s="324" t="s">
        <v>3362</v>
      </c>
      <c r="Y119" s="324" t="s">
        <v>3399</v>
      </c>
      <c r="Z119" s="322" t="s">
        <v>3384</v>
      </c>
      <c r="AA119" s="392">
        <v>4013</v>
      </c>
    </row>
    <row r="120" spans="17:27" ht="13.8">
      <c r="Q120" s="385">
        <f t="shared" si="1"/>
        <v>114</v>
      </c>
      <c r="R120" s="386" t="s">
        <v>1519</v>
      </c>
      <c r="S120" s="386" t="s">
        <v>1520</v>
      </c>
      <c r="T120" s="387" t="s">
        <v>1399</v>
      </c>
      <c r="U120" s="385" t="s">
        <v>1521</v>
      </c>
      <c r="V120" s="385" t="s">
        <v>1520</v>
      </c>
      <c r="W120" s="386" t="s">
        <v>3148</v>
      </c>
      <c r="X120" s="324" t="s">
        <v>3362</v>
      </c>
      <c r="Y120" s="324" t="s">
        <v>3398</v>
      </c>
      <c r="Z120" s="322" t="s">
        <v>3387</v>
      </c>
      <c r="AA120" s="392">
        <v>47512</v>
      </c>
    </row>
    <row r="121" spans="17:27" ht="13.8">
      <c r="Q121" s="385">
        <f t="shared" si="1"/>
        <v>115</v>
      </c>
      <c r="R121" s="386" t="s">
        <v>1522</v>
      </c>
      <c r="S121" s="386" t="s">
        <v>1523</v>
      </c>
      <c r="T121" s="387" t="s">
        <v>1433</v>
      </c>
      <c r="U121" s="385" t="s">
        <v>1524</v>
      </c>
      <c r="V121" s="385" t="s">
        <v>1523</v>
      </c>
      <c r="W121" s="386" t="s">
        <v>3149</v>
      </c>
      <c r="X121" s="324" t="s">
        <v>3362</v>
      </c>
      <c r="Y121" s="324" t="s">
        <v>3399</v>
      </c>
      <c r="Z121" s="322" t="s">
        <v>3384</v>
      </c>
      <c r="AA121" s="392">
        <v>9555</v>
      </c>
    </row>
    <row r="122" spans="17:27" ht="13.8">
      <c r="Q122" s="385">
        <f t="shared" si="1"/>
        <v>116</v>
      </c>
      <c r="R122" s="386" t="s">
        <v>1525</v>
      </c>
      <c r="S122" s="386" t="s">
        <v>1526</v>
      </c>
      <c r="T122" s="387" t="s">
        <v>1316</v>
      </c>
      <c r="U122" s="385" t="s">
        <v>1527</v>
      </c>
      <c r="V122" s="385" t="s">
        <v>1526</v>
      </c>
      <c r="W122" s="386" t="s">
        <v>3150</v>
      </c>
      <c r="X122" s="324" t="s">
        <v>3362</v>
      </c>
      <c r="Y122" s="324" t="s">
        <v>3398</v>
      </c>
      <c r="Z122" s="322" t="s">
        <v>3382</v>
      </c>
      <c r="AA122" s="392">
        <v>11157</v>
      </c>
    </row>
    <row r="123" spans="17:27" ht="13.8">
      <c r="Q123" s="385">
        <f t="shared" si="1"/>
        <v>117</v>
      </c>
      <c r="R123" s="386" t="s">
        <v>1528</v>
      </c>
      <c r="S123" s="386" t="s">
        <v>1529</v>
      </c>
      <c r="T123" s="387" t="s">
        <v>1244</v>
      </c>
      <c r="U123" s="385" t="s">
        <v>1530</v>
      </c>
      <c r="V123" s="385" t="s">
        <v>2907</v>
      </c>
      <c r="W123" s="386" t="s">
        <v>2907</v>
      </c>
      <c r="X123" s="324" t="s">
        <v>3363</v>
      </c>
      <c r="Y123" s="324" t="s">
        <v>3398</v>
      </c>
      <c r="Z123" s="322" t="s">
        <v>3379</v>
      </c>
      <c r="AA123" s="392">
        <v>2406</v>
      </c>
    </row>
    <row r="124" spans="17:27" ht="13.8">
      <c r="Q124" s="385">
        <f t="shared" si="1"/>
        <v>118</v>
      </c>
      <c r="R124" s="386" t="s">
        <v>1531</v>
      </c>
      <c r="S124" s="386" t="s">
        <v>1532</v>
      </c>
      <c r="T124" s="387" t="s">
        <v>1258</v>
      </c>
      <c r="U124" s="385" t="s">
        <v>1533</v>
      </c>
      <c r="V124" s="385" t="s">
        <v>3314</v>
      </c>
      <c r="W124" s="386" t="s">
        <v>3314</v>
      </c>
      <c r="X124" s="324" t="s">
        <v>3364</v>
      </c>
      <c r="Y124" s="324" t="s">
        <v>3398</v>
      </c>
      <c r="Z124" s="322" t="s">
        <v>3391</v>
      </c>
      <c r="AA124" s="392">
        <v>64270</v>
      </c>
    </row>
    <row r="125" spans="17:27" ht="13.8">
      <c r="Q125" s="385">
        <f t="shared" si="1"/>
        <v>119</v>
      </c>
      <c r="R125" s="386" t="s">
        <v>1534</v>
      </c>
      <c r="S125" s="386" t="s">
        <v>1535</v>
      </c>
      <c r="T125" s="387" t="s">
        <v>1176</v>
      </c>
      <c r="U125" s="385" t="s">
        <v>1536</v>
      </c>
      <c r="V125" s="385" t="s">
        <v>2908</v>
      </c>
      <c r="W125" s="386" t="s">
        <v>2908</v>
      </c>
      <c r="X125" s="324" t="s">
        <v>3363</v>
      </c>
      <c r="Y125" s="324" t="s">
        <v>3398</v>
      </c>
      <c r="Z125" s="322" t="s">
        <v>3379</v>
      </c>
      <c r="AA125" s="392">
        <v>8913</v>
      </c>
    </row>
    <row r="126" spans="17:27" ht="13.8">
      <c r="Q126" s="385">
        <f t="shared" si="1"/>
        <v>120</v>
      </c>
      <c r="R126" s="386" t="s">
        <v>1537</v>
      </c>
      <c r="S126" s="386" t="s">
        <v>1538</v>
      </c>
      <c r="T126" s="387" t="s">
        <v>1539</v>
      </c>
      <c r="U126" s="385" t="s">
        <v>1540</v>
      </c>
      <c r="V126" s="385" t="s">
        <v>1538</v>
      </c>
      <c r="W126" s="386" t="s">
        <v>3151</v>
      </c>
      <c r="X126" s="324" t="s">
        <v>3362</v>
      </c>
      <c r="Y126" s="324" t="s">
        <v>3398</v>
      </c>
      <c r="Z126" s="322" t="s">
        <v>3388</v>
      </c>
      <c r="AA126" s="392">
        <v>27190</v>
      </c>
    </row>
    <row r="127" spans="17:27" ht="13.8">
      <c r="Q127" s="385">
        <f t="shared" si="1"/>
        <v>121</v>
      </c>
      <c r="R127" s="386" t="s">
        <v>1541</v>
      </c>
      <c r="S127" s="386" t="s">
        <v>1542</v>
      </c>
      <c r="T127" s="387" t="s">
        <v>1237</v>
      </c>
      <c r="U127" s="385" t="s">
        <v>1543</v>
      </c>
      <c r="V127" s="385" t="s">
        <v>1542</v>
      </c>
      <c r="W127" s="386" t="s">
        <v>3152</v>
      </c>
      <c r="X127" s="324" t="s">
        <v>3362</v>
      </c>
      <c r="Y127" s="324" t="s">
        <v>3398</v>
      </c>
      <c r="Z127" s="322" t="s">
        <v>3385</v>
      </c>
      <c r="AA127" s="392">
        <v>6069</v>
      </c>
    </row>
    <row r="128" spans="17:27" ht="13.8">
      <c r="Q128" s="385">
        <f t="shared" si="1"/>
        <v>122</v>
      </c>
      <c r="R128" s="386" t="s">
        <v>1544</v>
      </c>
      <c r="S128" s="386" t="s">
        <v>1545</v>
      </c>
      <c r="T128" s="387" t="s">
        <v>1168</v>
      </c>
      <c r="U128" s="385" t="s">
        <v>1546</v>
      </c>
      <c r="V128" s="385" t="s">
        <v>2909</v>
      </c>
      <c r="W128" s="386" t="s">
        <v>2909</v>
      </c>
      <c r="X128" s="324" t="s">
        <v>3363</v>
      </c>
      <c r="Y128" s="324" t="s">
        <v>3398</v>
      </c>
      <c r="Z128" s="322" t="s">
        <v>3379</v>
      </c>
      <c r="AA128" s="392">
        <v>12709</v>
      </c>
    </row>
    <row r="129" spans="17:27" ht="13.8">
      <c r="Q129" s="385">
        <f t="shared" si="1"/>
        <v>123</v>
      </c>
      <c r="R129" s="386" t="s">
        <v>1547</v>
      </c>
      <c r="S129" s="386" t="s">
        <v>1548</v>
      </c>
      <c r="T129" s="387" t="s">
        <v>1176</v>
      </c>
      <c r="U129" s="385" t="s">
        <v>1549</v>
      </c>
      <c r="V129" s="385" t="s">
        <v>2910</v>
      </c>
      <c r="W129" s="386" t="s">
        <v>2910</v>
      </c>
      <c r="X129" s="324" t="s">
        <v>3363</v>
      </c>
      <c r="Y129" s="324" t="s">
        <v>3398</v>
      </c>
      <c r="Z129" s="322" t="s">
        <v>3379</v>
      </c>
      <c r="AA129" s="392">
        <v>11513</v>
      </c>
    </row>
    <row r="130" spans="17:27" ht="13.8">
      <c r="Q130" s="385">
        <f t="shared" si="1"/>
        <v>124</v>
      </c>
      <c r="R130" s="386" t="s">
        <v>1550</v>
      </c>
      <c r="S130" s="386" t="s">
        <v>1551</v>
      </c>
      <c r="T130" s="387" t="s">
        <v>1237</v>
      </c>
      <c r="U130" s="385" t="s">
        <v>1552</v>
      </c>
      <c r="V130" s="385" t="s">
        <v>1551</v>
      </c>
      <c r="W130" s="386" t="s">
        <v>3153</v>
      </c>
      <c r="X130" s="324" t="s">
        <v>3362</v>
      </c>
      <c r="Y130" s="324" t="s">
        <v>3399</v>
      </c>
      <c r="Z130" s="322" t="s">
        <v>3384</v>
      </c>
      <c r="AA130" s="392">
        <v>8881</v>
      </c>
    </row>
    <row r="131" spans="17:27" ht="13.8">
      <c r="Q131" s="385">
        <f t="shared" si="1"/>
        <v>125</v>
      </c>
      <c r="R131" s="386" t="s">
        <v>1553</v>
      </c>
      <c r="S131" s="386" t="s">
        <v>1554</v>
      </c>
      <c r="T131" s="387" t="s">
        <v>1399</v>
      </c>
      <c r="U131" s="385" t="s">
        <v>1555</v>
      </c>
      <c r="V131" s="385" t="s">
        <v>1554</v>
      </c>
      <c r="W131" s="386" t="s">
        <v>3154</v>
      </c>
      <c r="X131" s="324" t="s">
        <v>3362</v>
      </c>
      <c r="Y131" s="324" t="s">
        <v>3398</v>
      </c>
      <c r="Z131" s="322" t="s">
        <v>3380</v>
      </c>
      <c r="AA131" s="392">
        <v>99967</v>
      </c>
    </row>
    <row r="132" spans="17:27" ht="13.8">
      <c r="Q132" s="385">
        <f t="shared" si="1"/>
        <v>126</v>
      </c>
      <c r="R132" s="386" t="s">
        <v>1556</v>
      </c>
      <c r="S132" s="386" t="s">
        <v>1557</v>
      </c>
      <c r="T132" s="387" t="s">
        <v>1172</v>
      </c>
      <c r="U132" s="385" t="s">
        <v>1558</v>
      </c>
      <c r="V132" s="385" t="s">
        <v>1557</v>
      </c>
      <c r="W132" s="386" t="s">
        <v>1557</v>
      </c>
      <c r="X132" s="324" t="s">
        <v>3364</v>
      </c>
      <c r="Y132" s="324" t="s">
        <v>3398</v>
      </c>
      <c r="Z132" s="322" t="s">
        <v>3386</v>
      </c>
      <c r="AA132" s="392">
        <v>4243</v>
      </c>
    </row>
    <row r="133" spans="17:27" ht="13.8">
      <c r="Q133" s="385">
        <f t="shared" si="1"/>
        <v>127</v>
      </c>
      <c r="R133" s="386" t="s">
        <v>1559</v>
      </c>
      <c r="S133" s="386" t="s">
        <v>1560</v>
      </c>
      <c r="T133" s="387" t="s">
        <v>1172</v>
      </c>
      <c r="U133" s="385" t="s">
        <v>1561</v>
      </c>
      <c r="V133" s="385" t="s">
        <v>1560</v>
      </c>
      <c r="W133" s="386" t="s">
        <v>3155</v>
      </c>
      <c r="X133" s="324" t="s">
        <v>3362</v>
      </c>
      <c r="Y133" s="324" t="s">
        <v>3399</v>
      </c>
      <c r="Z133" s="322" t="s">
        <v>3384</v>
      </c>
      <c r="AA133" s="392">
        <v>43323</v>
      </c>
    </row>
    <row r="134" spans="17:27" ht="13.8">
      <c r="Q134" s="385">
        <f t="shared" si="1"/>
        <v>128</v>
      </c>
      <c r="R134" s="386" t="s">
        <v>1562</v>
      </c>
      <c r="S134" s="386" t="s">
        <v>1563</v>
      </c>
      <c r="T134" s="387" t="s">
        <v>1274</v>
      </c>
      <c r="U134" s="385" t="s">
        <v>1564</v>
      </c>
      <c r="V134" s="385" t="s">
        <v>3315</v>
      </c>
      <c r="W134" s="386" t="s">
        <v>3315</v>
      </c>
      <c r="X134" s="324" t="s">
        <v>3364</v>
      </c>
      <c r="Y134" s="324" t="s">
        <v>3398</v>
      </c>
      <c r="Z134" s="322" t="s">
        <v>3386</v>
      </c>
      <c r="AA134" s="392">
        <v>124969</v>
      </c>
    </row>
    <row r="135" spans="17:27" ht="13.8">
      <c r="Q135" s="385">
        <f t="shared" si="1"/>
        <v>129</v>
      </c>
      <c r="R135" s="386" t="s">
        <v>1565</v>
      </c>
      <c r="S135" s="386" t="s">
        <v>1566</v>
      </c>
      <c r="T135" s="387" t="s">
        <v>1433</v>
      </c>
      <c r="U135" s="385" t="s">
        <v>1567</v>
      </c>
      <c r="V135" s="385" t="s">
        <v>1566</v>
      </c>
      <c r="W135" s="386" t="s">
        <v>3156</v>
      </c>
      <c r="X135" s="324" t="s">
        <v>3362</v>
      </c>
      <c r="Y135" s="324" t="s">
        <v>3399</v>
      </c>
      <c r="Z135" s="322" t="s">
        <v>3384</v>
      </c>
      <c r="AA135" s="392">
        <v>4216</v>
      </c>
    </row>
    <row r="136" spans="17:27" ht="13.8">
      <c r="Q136" s="385">
        <f t="shared" si="1"/>
        <v>130</v>
      </c>
      <c r="R136" s="386" t="s">
        <v>1568</v>
      </c>
      <c r="S136" s="386" t="s">
        <v>1569</v>
      </c>
      <c r="T136" s="387" t="s">
        <v>1186</v>
      </c>
      <c r="U136" s="385" t="s">
        <v>1570</v>
      </c>
      <c r="V136" s="385" t="s">
        <v>2911</v>
      </c>
      <c r="W136" s="386" t="s">
        <v>2911</v>
      </c>
      <c r="X136" s="324" t="s">
        <v>3363</v>
      </c>
      <c r="Y136" s="324" t="s">
        <v>3398</v>
      </c>
      <c r="Z136" s="322" t="s">
        <v>3379</v>
      </c>
      <c r="AA136" s="392">
        <v>1395</v>
      </c>
    </row>
    <row r="137" spans="17:27" ht="13.8">
      <c r="Q137" s="385">
        <f t="shared" ref="Q137:Q200" si="2">Q136+1</f>
        <v>131</v>
      </c>
      <c r="R137" s="386" t="s">
        <v>1571</v>
      </c>
      <c r="S137" s="386" t="s">
        <v>1572</v>
      </c>
      <c r="T137" s="387" t="s">
        <v>1176</v>
      </c>
      <c r="U137" s="385" t="s">
        <v>1573</v>
      </c>
      <c r="V137" s="385" t="s">
        <v>2912</v>
      </c>
      <c r="W137" s="386" t="s">
        <v>2912</v>
      </c>
      <c r="X137" s="324" t="s">
        <v>3363</v>
      </c>
      <c r="Y137" s="324" t="s">
        <v>3398</v>
      </c>
      <c r="Z137" s="322" t="s">
        <v>3379</v>
      </c>
      <c r="AA137" s="392">
        <v>19403</v>
      </c>
    </row>
    <row r="138" spans="17:27" ht="13.8">
      <c r="Q138" s="385">
        <f t="shared" si="2"/>
        <v>132</v>
      </c>
      <c r="R138" s="386" t="s">
        <v>1574</v>
      </c>
      <c r="S138" s="386" t="s">
        <v>1575</v>
      </c>
      <c r="T138" s="387" t="s">
        <v>1186</v>
      </c>
      <c r="U138" s="385" t="s">
        <v>1576</v>
      </c>
      <c r="V138" s="385" t="s">
        <v>1575</v>
      </c>
      <c r="W138" s="386" t="s">
        <v>3157</v>
      </c>
      <c r="X138" s="324" t="s">
        <v>3362</v>
      </c>
      <c r="Y138" s="324" t="s">
        <v>3399</v>
      </c>
      <c r="Z138" s="322" t="s">
        <v>3381</v>
      </c>
      <c r="AA138" s="392">
        <v>1036</v>
      </c>
    </row>
    <row r="139" spans="17:27" ht="13.8">
      <c r="Q139" s="385">
        <f t="shared" si="2"/>
        <v>133</v>
      </c>
      <c r="R139" s="386" t="s">
        <v>1577</v>
      </c>
      <c r="S139" s="386" t="s">
        <v>1578</v>
      </c>
      <c r="T139" s="387" t="s">
        <v>1176</v>
      </c>
      <c r="U139" s="385" t="s">
        <v>1579</v>
      </c>
      <c r="V139" s="385" t="s">
        <v>2913</v>
      </c>
      <c r="W139" s="386" t="s">
        <v>2913</v>
      </c>
      <c r="X139" s="324" t="s">
        <v>3363</v>
      </c>
      <c r="Y139" s="324" t="s">
        <v>3398</v>
      </c>
      <c r="Z139" s="322" t="s">
        <v>3379</v>
      </c>
      <c r="AA139" s="392">
        <v>7401</v>
      </c>
    </row>
    <row r="140" spans="17:27" ht="13.8">
      <c r="Q140" s="385">
        <f t="shared" si="2"/>
        <v>134</v>
      </c>
      <c r="R140" s="386" t="s">
        <v>1580</v>
      </c>
      <c r="S140" s="386" t="s">
        <v>1581</v>
      </c>
      <c r="T140" s="387" t="s">
        <v>1176</v>
      </c>
      <c r="U140" s="385" t="s">
        <v>1582</v>
      </c>
      <c r="V140" s="385" t="s">
        <v>3316</v>
      </c>
      <c r="W140" s="386" t="s">
        <v>3316</v>
      </c>
      <c r="X140" s="324" t="s">
        <v>3364</v>
      </c>
      <c r="Y140" s="324" t="s">
        <v>3398</v>
      </c>
      <c r="Z140" s="322" t="s">
        <v>3387</v>
      </c>
      <c r="AA140" s="392">
        <v>27147</v>
      </c>
    </row>
    <row r="141" spans="17:27" ht="13.8">
      <c r="Q141" s="385">
        <f t="shared" si="2"/>
        <v>135</v>
      </c>
      <c r="R141" s="386" t="s">
        <v>1583</v>
      </c>
      <c r="S141" s="386" t="s">
        <v>1584</v>
      </c>
      <c r="T141" s="387" t="s">
        <v>1176</v>
      </c>
      <c r="U141" s="385" t="s">
        <v>1585</v>
      </c>
      <c r="V141" s="385" t="s">
        <v>2914</v>
      </c>
      <c r="W141" s="386" t="s">
        <v>2914</v>
      </c>
      <c r="X141" s="324" t="s">
        <v>3363</v>
      </c>
      <c r="Y141" s="324" t="s">
        <v>3398</v>
      </c>
      <c r="Z141" s="322" t="s">
        <v>3379</v>
      </c>
      <c r="AA141" s="392">
        <v>5281</v>
      </c>
    </row>
    <row r="142" spans="17:27" ht="13.8">
      <c r="Q142" s="385">
        <f t="shared" si="2"/>
        <v>136</v>
      </c>
      <c r="R142" s="386" t="s">
        <v>1586</v>
      </c>
      <c r="S142" s="386" t="s">
        <v>1587</v>
      </c>
      <c r="T142" s="387" t="s">
        <v>1168</v>
      </c>
      <c r="U142" s="385" t="s">
        <v>1588</v>
      </c>
      <c r="V142" s="385" t="s">
        <v>2915</v>
      </c>
      <c r="W142" s="386" t="s">
        <v>2915</v>
      </c>
      <c r="X142" s="324" t="s">
        <v>3363</v>
      </c>
      <c r="Y142" s="324" t="s">
        <v>3398</v>
      </c>
      <c r="Z142" s="322" t="s">
        <v>3379</v>
      </c>
      <c r="AA142" s="392">
        <v>1847</v>
      </c>
    </row>
    <row r="143" spans="17:27" ht="13.8">
      <c r="Q143" s="385">
        <f t="shared" si="2"/>
        <v>137</v>
      </c>
      <c r="R143" s="386" t="s">
        <v>1589</v>
      </c>
      <c r="S143" s="386" t="s">
        <v>1590</v>
      </c>
      <c r="T143" s="387" t="s">
        <v>1258</v>
      </c>
      <c r="U143" s="385" t="s">
        <v>1591</v>
      </c>
      <c r="V143" s="385" t="s">
        <v>1590</v>
      </c>
      <c r="W143" s="386" t="s">
        <v>3158</v>
      </c>
      <c r="X143" s="324" t="s">
        <v>3362</v>
      </c>
      <c r="Y143" s="324" t="s">
        <v>3398</v>
      </c>
      <c r="Z143" s="322" t="s">
        <v>3379</v>
      </c>
      <c r="AA143" s="392">
        <v>2113</v>
      </c>
    </row>
    <row r="144" spans="17:27" ht="13.8">
      <c r="Q144" s="385">
        <f t="shared" si="2"/>
        <v>138</v>
      </c>
      <c r="R144" s="386" t="s">
        <v>1592</v>
      </c>
      <c r="S144" s="386" t="s">
        <v>1593</v>
      </c>
      <c r="T144" s="387" t="s">
        <v>1172</v>
      </c>
      <c r="U144" s="385" t="s">
        <v>1594</v>
      </c>
      <c r="V144" s="385" t="s">
        <v>3317</v>
      </c>
      <c r="W144" s="386" t="s">
        <v>3317</v>
      </c>
      <c r="X144" s="324" t="s">
        <v>3364</v>
      </c>
      <c r="Y144" s="324" t="s">
        <v>3398</v>
      </c>
      <c r="Z144" s="322" t="s">
        <v>3385</v>
      </c>
      <c r="AA144" s="392">
        <v>1735</v>
      </c>
    </row>
    <row r="145" spans="17:27" ht="13.8">
      <c r="Q145" s="385">
        <f t="shared" si="2"/>
        <v>139</v>
      </c>
      <c r="R145" s="386" t="s">
        <v>1595</v>
      </c>
      <c r="S145" s="386" t="s">
        <v>1596</v>
      </c>
      <c r="T145" s="387" t="s">
        <v>1237</v>
      </c>
      <c r="U145" s="385" t="s">
        <v>1597</v>
      </c>
      <c r="V145" s="385" t="s">
        <v>1596</v>
      </c>
      <c r="W145" s="386" t="s">
        <v>3159</v>
      </c>
      <c r="X145" s="324" t="s">
        <v>3362</v>
      </c>
      <c r="Y145" s="324" t="s">
        <v>3398</v>
      </c>
      <c r="Z145" s="322" t="s">
        <v>3382</v>
      </c>
      <c r="AA145" s="392">
        <v>45538</v>
      </c>
    </row>
    <row r="146" spans="17:27" ht="13.8">
      <c r="Q146" s="385">
        <f t="shared" si="2"/>
        <v>140</v>
      </c>
      <c r="R146" s="386" t="s">
        <v>1598</v>
      </c>
      <c r="S146" s="386" t="s">
        <v>1599</v>
      </c>
      <c r="T146" s="387" t="s">
        <v>1539</v>
      </c>
      <c r="U146" s="385" t="s">
        <v>1600</v>
      </c>
      <c r="V146" s="385" t="s">
        <v>1599</v>
      </c>
      <c r="W146" s="386" t="s">
        <v>3160</v>
      </c>
      <c r="X146" s="324" t="s">
        <v>3362</v>
      </c>
      <c r="Y146" s="324" t="s">
        <v>3398</v>
      </c>
      <c r="Z146" s="322" t="s">
        <v>3387</v>
      </c>
      <c r="AA146" s="392">
        <v>35790</v>
      </c>
    </row>
    <row r="147" spans="17:27" ht="13.8">
      <c r="Q147" s="385">
        <f t="shared" si="2"/>
        <v>141</v>
      </c>
      <c r="R147" s="386" t="s">
        <v>1601</v>
      </c>
      <c r="S147" s="386" t="s">
        <v>1602</v>
      </c>
      <c r="T147" s="387" t="s">
        <v>1168</v>
      </c>
      <c r="U147" s="385" t="s">
        <v>1603</v>
      </c>
      <c r="V147" s="385" t="s">
        <v>2916</v>
      </c>
      <c r="W147" s="386" t="s">
        <v>2916</v>
      </c>
      <c r="X147" s="324" t="s">
        <v>3363</v>
      </c>
      <c r="Y147" s="324" t="s">
        <v>3398</v>
      </c>
      <c r="Z147" s="322" t="s">
        <v>3379</v>
      </c>
      <c r="AA147" s="392">
        <v>6121</v>
      </c>
    </row>
    <row r="148" spans="17:27" ht="13.8">
      <c r="Q148" s="385">
        <f t="shared" si="2"/>
        <v>142</v>
      </c>
      <c r="R148" s="386" t="s">
        <v>1604</v>
      </c>
      <c r="S148" s="386" t="s">
        <v>1605</v>
      </c>
      <c r="T148" s="387" t="s">
        <v>1176</v>
      </c>
      <c r="U148" s="385" t="s">
        <v>1606</v>
      </c>
      <c r="V148" s="385" t="s">
        <v>2917</v>
      </c>
      <c r="W148" s="386" t="s">
        <v>2917</v>
      </c>
      <c r="X148" s="324" t="s">
        <v>3363</v>
      </c>
      <c r="Y148" s="324" t="s">
        <v>3398</v>
      </c>
      <c r="Z148" s="322" t="s">
        <v>3385</v>
      </c>
      <c r="AA148" s="392">
        <v>32457</v>
      </c>
    </row>
    <row r="149" spans="17:27" ht="13.8">
      <c r="Q149" s="385">
        <f t="shared" si="2"/>
        <v>143</v>
      </c>
      <c r="R149" s="386" t="s">
        <v>1607</v>
      </c>
      <c r="S149" s="388" t="s">
        <v>1608</v>
      </c>
      <c r="T149" s="387" t="s">
        <v>1344</v>
      </c>
      <c r="U149" s="385" t="s">
        <v>1609</v>
      </c>
      <c r="V149" s="385" t="s">
        <v>1608</v>
      </c>
      <c r="W149" s="388" t="s">
        <v>3161</v>
      </c>
      <c r="X149" s="324" t="s">
        <v>3362</v>
      </c>
      <c r="Y149" s="324" t="s">
        <v>3399</v>
      </c>
      <c r="Z149" s="322" t="s">
        <v>3384</v>
      </c>
      <c r="AA149" s="392">
        <v>6295</v>
      </c>
    </row>
    <row r="150" spans="17:27" ht="13.8">
      <c r="Q150" s="385">
        <f t="shared" si="2"/>
        <v>144</v>
      </c>
      <c r="R150" s="386" t="s">
        <v>1610</v>
      </c>
      <c r="S150" s="388" t="s">
        <v>1608</v>
      </c>
      <c r="T150" s="387" t="s">
        <v>1258</v>
      </c>
      <c r="U150" s="385" t="s">
        <v>1611</v>
      </c>
      <c r="V150" s="385" t="s">
        <v>1608</v>
      </c>
      <c r="W150" s="388" t="s">
        <v>3161</v>
      </c>
      <c r="X150" s="324" t="s">
        <v>3362</v>
      </c>
      <c r="Y150" s="324" t="s">
        <v>3398</v>
      </c>
      <c r="Z150" s="322" t="s">
        <v>3382</v>
      </c>
      <c r="AA150" s="392">
        <v>7466</v>
      </c>
    </row>
    <row r="151" spans="17:27" ht="13.8">
      <c r="Q151" s="385">
        <f t="shared" si="2"/>
        <v>145</v>
      </c>
      <c r="R151" s="386" t="s">
        <v>1612</v>
      </c>
      <c r="S151" s="386" t="s">
        <v>1613</v>
      </c>
      <c r="T151" s="387" t="s">
        <v>1176</v>
      </c>
      <c r="U151" s="385" t="s">
        <v>1614</v>
      </c>
      <c r="V151" s="385" t="s">
        <v>2918</v>
      </c>
      <c r="W151" s="386" t="s">
        <v>2918</v>
      </c>
      <c r="X151" s="324" t="s">
        <v>3363</v>
      </c>
      <c r="Y151" s="324" t="s">
        <v>3398</v>
      </c>
      <c r="Z151" s="322" t="s">
        <v>3379</v>
      </c>
      <c r="AA151" s="392">
        <v>13835</v>
      </c>
    </row>
    <row r="152" spans="17:27" ht="13.8">
      <c r="Q152" s="385">
        <f t="shared" si="2"/>
        <v>146</v>
      </c>
      <c r="R152" s="386" t="s">
        <v>1615</v>
      </c>
      <c r="S152" s="386" t="s">
        <v>1616</v>
      </c>
      <c r="T152" s="387" t="s">
        <v>1274</v>
      </c>
      <c r="U152" s="385" t="s">
        <v>1617</v>
      </c>
      <c r="V152" s="385" t="s">
        <v>2919</v>
      </c>
      <c r="W152" s="386" t="s">
        <v>2919</v>
      </c>
      <c r="X152" s="324" t="s">
        <v>3363</v>
      </c>
      <c r="Y152" s="324" t="s">
        <v>3398</v>
      </c>
      <c r="Z152" s="322" t="s">
        <v>3379</v>
      </c>
      <c r="AA152" s="392">
        <v>7318</v>
      </c>
    </row>
    <row r="153" spans="17:27" ht="13.8">
      <c r="Q153" s="385">
        <f t="shared" si="2"/>
        <v>147</v>
      </c>
      <c r="R153" s="386" t="s">
        <v>1618</v>
      </c>
      <c r="S153" s="386" t="s">
        <v>1619</v>
      </c>
      <c r="T153" s="387" t="s">
        <v>1254</v>
      </c>
      <c r="U153" s="385" t="s">
        <v>1620</v>
      </c>
      <c r="V153" s="385" t="s">
        <v>2920</v>
      </c>
      <c r="W153" s="386" t="s">
        <v>2920</v>
      </c>
      <c r="X153" s="324" t="s">
        <v>3363</v>
      </c>
      <c r="Y153" s="324" t="s">
        <v>3398</v>
      </c>
      <c r="Z153" s="322" t="s">
        <v>3379</v>
      </c>
      <c r="AA153" s="392">
        <v>919</v>
      </c>
    </row>
    <row r="154" spans="17:27" ht="13.8">
      <c r="Q154" s="385">
        <f t="shared" si="2"/>
        <v>148</v>
      </c>
      <c r="R154" s="386" t="s">
        <v>1621</v>
      </c>
      <c r="S154" s="386" t="s">
        <v>1622</v>
      </c>
      <c r="T154" s="387" t="s">
        <v>1168</v>
      </c>
      <c r="U154" s="385" t="s">
        <v>1623</v>
      </c>
      <c r="V154" s="385" t="s">
        <v>2921</v>
      </c>
      <c r="W154" s="386" t="s">
        <v>2921</v>
      </c>
      <c r="X154" s="324" t="s">
        <v>3363</v>
      </c>
      <c r="Y154" s="324" t="s">
        <v>3398</v>
      </c>
      <c r="Z154" s="322" t="s">
        <v>3379</v>
      </c>
      <c r="AA154" s="392">
        <v>1329</v>
      </c>
    </row>
    <row r="155" spans="17:27" ht="13.8">
      <c r="Q155" s="385">
        <f t="shared" si="2"/>
        <v>149</v>
      </c>
      <c r="R155" s="386" t="s">
        <v>1624</v>
      </c>
      <c r="S155" s="386" t="s">
        <v>1625</v>
      </c>
      <c r="T155" s="387" t="s">
        <v>1237</v>
      </c>
      <c r="U155" s="385" t="s">
        <v>1626</v>
      </c>
      <c r="V155" s="385" t="s">
        <v>2922</v>
      </c>
      <c r="W155" s="386" t="s">
        <v>2922</v>
      </c>
      <c r="X155" s="324" t="s">
        <v>3363</v>
      </c>
      <c r="Y155" s="324" t="s">
        <v>3398</v>
      </c>
      <c r="Z155" s="322" t="s">
        <v>3379</v>
      </c>
      <c r="AA155" s="392">
        <v>540</v>
      </c>
    </row>
    <row r="156" spans="17:27" ht="13.8">
      <c r="Q156" s="385">
        <f t="shared" si="2"/>
        <v>150</v>
      </c>
      <c r="R156" s="386" t="s">
        <v>1627</v>
      </c>
      <c r="S156" s="386" t="s">
        <v>1628</v>
      </c>
      <c r="T156" s="387" t="s">
        <v>1293</v>
      </c>
      <c r="U156" s="385" t="s">
        <v>1629</v>
      </c>
      <c r="V156" s="385" t="s">
        <v>2923</v>
      </c>
      <c r="W156" s="386" t="s">
        <v>2923</v>
      </c>
      <c r="X156" s="324" t="s">
        <v>3363</v>
      </c>
      <c r="Y156" s="324" t="s">
        <v>3398</v>
      </c>
      <c r="Z156" s="322" t="s">
        <v>3379</v>
      </c>
      <c r="AA156" s="392">
        <v>4581</v>
      </c>
    </row>
    <row r="157" spans="17:27" ht="13.8">
      <c r="Q157" s="385">
        <f t="shared" si="2"/>
        <v>151</v>
      </c>
      <c r="R157" s="386" t="s">
        <v>1630</v>
      </c>
      <c r="S157" s="386" t="s">
        <v>1631</v>
      </c>
      <c r="T157" s="387" t="s">
        <v>1237</v>
      </c>
      <c r="U157" s="385" t="s">
        <v>1632</v>
      </c>
      <c r="V157" s="385" t="s">
        <v>1631</v>
      </c>
      <c r="W157" s="386" t="s">
        <v>3162</v>
      </c>
      <c r="X157" s="324" t="s">
        <v>3362</v>
      </c>
      <c r="Y157" s="324" t="s">
        <v>3398</v>
      </c>
      <c r="Z157" s="322" t="s">
        <v>3387</v>
      </c>
      <c r="AA157" s="392">
        <v>12109</v>
      </c>
    </row>
    <row r="158" spans="17:27" ht="13.8">
      <c r="Q158" s="385">
        <f t="shared" si="2"/>
        <v>152</v>
      </c>
      <c r="R158" s="386" t="s">
        <v>1633</v>
      </c>
      <c r="S158" s="386" t="s">
        <v>1634</v>
      </c>
      <c r="T158" s="387" t="s">
        <v>1316</v>
      </c>
      <c r="U158" s="385" t="s">
        <v>1635</v>
      </c>
      <c r="V158" s="385" t="s">
        <v>2924</v>
      </c>
      <c r="W158" s="386" t="s">
        <v>2924</v>
      </c>
      <c r="X158" s="324" t="s">
        <v>3363</v>
      </c>
      <c r="Y158" s="324" t="s">
        <v>3398</v>
      </c>
      <c r="Z158" s="322" t="s">
        <v>3379</v>
      </c>
      <c r="AA158" s="392">
        <v>11696</v>
      </c>
    </row>
    <row r="159" spans="17:27" ht="13.8">
      <c r="Q159" s="385">
        <f t="shared" si="2"/>
        <v>153</v>
      </c>
      <c r="R159" s="386" t="s">
        <v>1636</v>
      </c>
      <c r="S159" s="386" t="s">
        <v>1637</v>
      </c>
      <c r="T159" s="387" t="s">
        <v>1172</v>
      </c>
      <c r="U159" s="385" t="s">
        <v>1638</v>
      </c>
      <c r="V159" s="385" t="s">
        <v>2925</v>
      </c>
      <c r="W159" s="386" t="s">
        <v>2925</v>
      </c>
      <c r="X159" s="324" t="s">
        <v>3363</v>
      </c>
      <c r="Y159" s="324" t="s">
        <v>3398</v>
      </c>
      <c r="Z159" s="322" t="s">
        <v>3379</v>
      </c>
      <c r="AA159" s="392">
        <v>1885</v>
      </c>
    </row>
    <row r="160" spans="17:27" ht="13.8">
      <c r="Q160" s="385">
        <f t="shared" si="2"/>
        <v>154</v>
      </c>
      <c r="R160" s="386" t="s">
        <v>1639</v>
      </c>
      <c r="S160" s="386" t="s">
        <v>1640</v>
      </c>
      <c r="T160" s="387" t="s">
        <v>1176</v>
      </c>
      <c r="U160" s="385" t="s">
        <v>1641</v>
      </c>
      <c r="V160" s="385" t="s">
        <v>2926</v>
      </c>
      <c r="W160" s="386" t="s">
        <v>2926</v>
      </c>
      <c r="X160" s="324" t="s">
        <v>3363</v>
      </c>
      <c r="Y160" s="324" t="s">
        <v>3398</v>
      </c>
      <c r="Z160" s="322" t="s">
        <v>3379</v>
      </c>
      <c r="AA160" s="392">
        <v>35345</v>
      </c>
    </row>
    <row r="161" spans="17:27" ht="13.8">
      <c r="Q161" s="385">
        <f t="shared" si="2"/>
        <v>155</v>
      </c>
      <c r="R161" s="386" t="s">
        <v>1642</v>
      </c>
      <c r="S161" s="386" t="s">
        <v>1643</v>
      </c>
      <c r="T161" s="387" t="s">
        <v>1197</v>
      </c>
      <c r="U161" s="385" t="s">
        <v>1644</v>
      </c>
      <c r="V161" s="385" t="s">
        <v>1643</v>
      </c>
      <c r="W161" s="386" t="s">
        <v>3163</v>
      </c>
      <c r="X161" s="324" t="s">
        <v>3362</v>
      </c>
      <c r="Y161" s="324" t="s">
        <v>3399</v>
      </c>
      <c r="Z161" s="322" t="s">
        <v>3381</v>
      </c>
      <c r="AA161" s="392">
        <v>5565</v>
      </c>
    </row>
    <row r="162" spans="17:27" ht="13.8">
      <c r="Q162" s="385">
        <f t="shared" si="2"/>
        <v>156</v>
      </c>
      <c r="R162" s="386" t="s">
        <v>1645</v>
      </c>
      <c r="S162" s="386" t="s">
        <v>1646</v>
      </c>
      <c r="T162" s="387" t="s">
        <v>1197</v>
      </c>
      <c r="U162" s="385" t="s">
        <v>1647</v>
      </c>
      <c r="V162" s="385" t="s">
        <v>2927</v>
      </c>
      <c r="W162" s="386" t="s">
        <v>2927</v>
      </c>
      <c r="X162" s="324" t="s">
        <v>3363</v>
      </c>
      <c r="Y162" s="324" t="s">
        <v>3398</v>
      </c>
      <c r="Z162" s="322" t="s">
        <v>3379</v>
      </c>
      <c r="AA162" s="392">
        <v>5045</v>
      </c>
    </row>
    <row r="163" spans="17:27" ht="13.8">
      <c r="Q163" s="385">
        <f t="shared" si="2"/>
        <v>157</v>
      </c>
      <c r="R163" s="386" t="s">
        <v>1648</v>
      </c>
      <c r="S163" s="386" t="s">
        <v>1649</v>
      </c>
      <c r="T163" s="387" t="s">
        <v>1176</v>
      </c>
      <c r="U163" s="385" t="s">
        <v>1650</v>
      </c>
      <c r="V163" s="385" t="s">
        <v>2928</v>
      </c>
      <c r="W163" s="386" t="s">
        <v>2928</v>
      </c>
      <c r="X163" s="324" t="s">
        <v>3363</v>
      </c>
      <c r="Y163" s="324" t="s">
        <v>3398</v>
      </c>
      <c r="Z163" s="322" t="s">
        <v>3379</v>
      </c>
      <c r="AA163" s="392">
        <v>10590</v>
      </c>
    </row>
    <row r="164" spans="17:27" ht="13.8">
      <c r="Q164" s="385">
        <f t="shared" si="2"/>
        <v>158</v>
      </c>
      <c r="R164" s="386" t="s">
        <v>1651</v>
      </c>
      <c r="S164" s="386" t="s">
        <v>1652</v>
      </c>
      <c r="T164" s="387" t="s">
        <v>1433</v>
      </c>
      <c r="U164" s="385" t="s">
        <v>1653</v>
      </c>
      <c r="V164" s="385" t="s">
        <v>1652</v>
      </c>
      <c r="W164" s="386" t="s">
        <v>2927</v>
      </c>
      <c r="X164" s="324" t="s">
        <v>3362</v>
      </c>
      <c r="Y164" s="324" t="s">
        <v>3399</v>
      </c>
      <c r="Z164" s="322" t="s">
        <v>3384</v>
      </c>
      <c r="AA164" s="392">
        <v>16820</v>
      </c>
    </row>
    <row r="165" spans="17:27" ht="13.8">
      <c r="Q165" s="385">
        <f t="shared" si="2"/>
        <v>159</v>
      </c>
      <c r="R165" s="386" t="s">
        <v>1654</v>
      </c>
      <c r="S165" s="386" t="s">
        <v>1652</v>
      </c>
      <c r="T165" s="387" t="s">
        <v>1293</v>
      </c>
      <c r="U165" s="385" t="s">
        <v>1655</v>
      </c>
      <c r="V165" s="385" t="s">
        <v>1652</v>
      </c>
      <c r="W165" s="386" t="s">
        <v>2927</v>
      </c>
      <c r="X165" s="324" t="s">
        <v>3362</v>
      </c>
      <c r="Y165" s="324" t="s">
        <v>3399</v>
      </c>
      <c r="Z165" s="322" t="s">
        <v>3384</v>
      </c>
      <c r="AA165" s="392">
        <v>3195</v>
      </c>
    </row>
    <row r="166" spans="17:27" ht="13.8">
      <c r="Q166" s="385">
        <f t="shared" si="2"/>
        <v>160</v>
      </c>
      <c r="R166" s="386" t="s">
        <v>1656</v>
      </c>
      <c r="S166" s="386" t="s">
        <v>1652</v>
      </c>
      <c r="T166" s="387" t="s">
        <v>1254</v>
      </c>
      <c r="U166" s="385" t="s">
        <v>1657</v>
      </c>
      <c r="V166" s="385" t="s">
        <v>1652</v>
      </c>
      <c r="W166" s="386" t="s">
        <v>2927</v>
      </c>
      <c r="X166" s="324" t="s">
        <v>3362</v>
      </c>
      <c r="Y166" s="324" t="s">
        <v>3398</v>
      </c>
      <c r="Z166" s="322" t="s">
        <v>3392</v>
      </c>
      <c r="AA166" s="392">
        <v>62300</v>
      </c>
    </row>
    <row r="167" spans="17:27" ht="13.8">
      <c r="Q167" s="385">
        <f t="shared" si="2"/>
        <v>161</v>
      </c>
      <c r="R167" s="386" t="s">
        <v>1658</v>
      </c>
      <c r="S167" s="386" t="s">
        <v>1652</v>
      </c>
      <c r="T167" s="387" t="s">
        <v>1190</v>
      </c>
      <c r="U167" s="385" t="s">
        <v>1659</v>
      </c>
      <c r="V167" s="385" t="s">
        <v>1652</v>
      </c>
      <c r="W167" s="386" t="s">
        <v>2927</v>
      </c>
      <c r="X167" s="324" t="s">
        <v>3362</v>
      </c>
      <c r="Y167" s="324" t="s">
        <v>3399</v>
      </c>
      <c r="Z167" s="322" t="s">
        <v>3384</v>
      </c>
      <c r="AA167" s="392">
        <v>3176</v>
      </c>
    </row>
    <row r="168" spans="17:27" ht="13.8">
      <c r="Q168" s="385">
        <f t="shared" si="2"/>
        <v>162</v>
      </c>
      <c r="R168" s="386" t="s">
        <v>1660</v>
      </c>
      <c r="S168" s="386" t="s">
        <v>1661</v>
      </c>
      <c r="T168" s="387" t="s">
        <v>1197</v>
      </c>
      <c r="U168" s="385" t="s">
        <v>1662</v>
      </c>
      <c r="V168" s="385" t="s">
        <v>1661</v>
      </c>
      <c r="W168" s="386" t="s">
        <v>3164</v>
      </c>
      <c r="X168" s="324" t="s">
        <v>3362</v>
      </c>
      <c r="Y168" s="324" t="s">
        <v>3399</v>
      </c>
      <c r="Z168" s="322" t="s">
        <v>3384</v>
      </c>
      <c r="AA168" s="392">
        <v>3437</v>
      </c>
    </row>
    <row r="169" spans="17:27" ht="13.8">
      <c r="Q169" s="385">
        <f t="shared" si="2"/>
        <v>163</v>
      </c>
      <c r="R169" s="386" t="s">
        <v>1663</v>
      </c>
      <c r="S169" s="386" t="s">
        <v>1664</v>
      </c>
      <c r="T169" s="387" t="s">
        <v>1168</v>
      </c>
      <c r="U169" s="385" t="s">
        <v>1665</v>
      </c>
      <c r="V169" s="385" t="s">
        <v>2929</v>
      </c>
      <c r="W169" s="386" t="s">
        <v>2929</v>
      </c>
      <c r="X169" s="324" t="s">
        <v>3363</v>
      </c>
      <c r="Y169" s="324" t="s">
        <v>3398</v>
      </c>
      <c r="Z169" s="322" t="s">
        <v>3379</v>
      </c>
      <c r="AA169" s="392">
        <v>12052</v>
      </c>
    </row>
    <row r="170" spans="17:27" ht="13.8">
      <c r="Q170" s="385">
        <f t="shared" si="2"/>
        <v>164</v>
      </c>
      <c r="R170" s="386" t="s">
        <v>1666</v>
      </c>
      <c r="S170" s="386" t="s">
        <v>1667</v>
      </c>
      <c r="T170" s="387" t="s">
        <v>1168</v>
      </c>
      <c r="U170" s="385" t="s">
        <v>1668</v>
      </c>
      <c r="V170" s="385" t="s">
        <v>1667</v>
      </c>
      <c r="W170" s="386" t="s">
        <v>2929</v>
      </c>
      <c r="X170" s="324" t="s">
        <v>3362</v>
      </c>
      <c r="Y170" s="324" t="s">
        <v>3399</v>
      </c>
      <c r="Z170" s="322" t="s">
        <v>3384</v>
      </c>
      <c r="AA170" s="392">
        <v>36184</v>
      </c>
    </row>
    <row r="171" spans="17:27" ht="13.8">
      <c r="Q171" s="385">
        <f t="shared" si="2"/>
        <v>165</v>
      </c>
      <c r="R171" s="386" t="s">
        <v>1669</v>
      </c>
      <c r="S171" s="386" t="s">
        <v>1670</v>
      </c>
      <c r="T171" s="387" t="s">
        <v>1190</v>
      </c>
      <c r="U171" s="385" t="s">
        <v>1671</v>
      </c>
      <c r="V171" s="385" t="s">
        <v>1670</v>
      </c>
      <c r="W171" s="386" t="s">
        <v>3165</v>
      </c>
      <c r="X171" s="324" t="s">
        <v>3362</v>
      </c>
      <c r="Y171" s="324" t="s">
        <v>3399</v>
      </c>
      <c r="Z171" s="322" t="s">
        <v>3381</v>
      </c>
      <c r="AA171" s="392">
        <v>2230</v>
      </c>
    </row>
    <row r="172" spans="17:27" ht="13.8">
      <c r="Q172" s="385">
        <f t="shared" si="2"/>
        <v>166</v>
      </c>
      <c r="R172" s="386" t="s">
        <v>1672</v>
      </c>
      <c r="S172" s="386" t="s">
        <v>1673</v>
      </c>
      <c r="T172" s="387" t="s">
        <v>1293</v>
      </c>
      <c r="U172" s="385" t="s">
        <v>1674</v>
      </c>
      <c r="V172" s="385" t="s">
        <v>2930</v>
      </c>
      <c r="W172" s="386" t="s">
        <v>2930</v>
      </c>
      <c r="X172" s="324" t="s">
        <v>3363</v>
      </c>
      <c r="Y172" s="324" t="s">
        <v>3398</v>
      </c>
      <c r="Z172" s="322" t="s">
        <v>3379</v>
      </c>
      <c r="AA172" s="392">
        <v>1373</v>
      </c>
    </row>
    <row r="173" spans="17:27" ht="13.8">
      <c r="Q173" s="385">
        <f t="shared" si="2"/>
        <v>167</v>
      </c>
      <c r="R173" s="386" t="s">
        <v>1675</v>
      </c>
      <c r="S173" s="386" t="s">
        <v>1676</v>
      </c>
      <c r="T173" s="387" t="s">
        <v>1172</v>
      </c>
      <c r="U173" s="385" t="s">
        <v>1677</v>
      </c>
      <c r="V173" s="385" t="s">
        <v>1676</v>
      </c>
      <c r="W173" s="386" t="s">
        <v>3166</v>
      </c>
      <c r="X173" s="324" t="s">
        <v>3362</v>
      </c>
      <c r="Y173" s="324" t="s">
        <v>3398</v>
      </c>
      <c r="Z173" s="322" t="s">
        <v>3388</v>
      </c>
      <c r="AA173" s="392">
        <v>37349</v>
      </c>
    </row>
    <row r="174" spans="17:27" ht="13.8">
      <c r="Q174" s="385">
        <f t="shared" si="2"/>
        <v>168</v>
      </c>
      <c r="R174" s="386" t="s">
        <v>1678</v>
      </c>
      <c r="S174" s="386" t="s">
        <v>1679</v>
      </c>
      <c r="T174" s="387" t="s">
        <v>1176</v>
      </c>
      <c r="U174" s="385" t="s">
        <v>1680</v>
      </c>
      <c r="V174" s="385" t="s">
        <v>3318</v>
      </c>
      <c r="W174" s="386" t="s">
        <v>3318</v>
      </c>
      <c r="X174" s="324" t="s">
        <v>3364</v>
      </c>
      <c r="Y174" s="324" t="s">
        <v>3398</v>
      </c>
      <c r="Z174" s="322" t="s">
        <v>3385</v>
      </c>
      <c r="AA174" s="392">
        <v>30487</v>
      </c>
    </row>
    <row r="175" spans="17:27" ht="13.8">
      <c r="Q175" s="385">
        <f t="shared" si="2"/>
        <v>169</v>
      </c>
      <c r="R175" s="386" t="s">
        <v>1681</v>
      </c>
      <c r="S175" s="386" t="s">
        <v>1682</v>
      </c>
      <c r="T175" s="387" t="s">
        <v>1274</v>
      </c>
      <c r="U175" s="385" t="s">
        <v>1683</v>
      </c>
      <c r="V175" s="385" t="s">
        <v>2931</v>
      </c>
      <c r="W175" s="386" t="s">
        <v>2931</v>
      </c>
      <c r="X175" s="324" t="s">
        <v>3363</v>
      </c>
      <c r="Y175" s="324" t="s">
        <v>3398</v>
      </c>
      <c r="Z175" s="322" t="s">
        <v>3379</v>
      </c>
      <c r="AA175" s="392">
        <v>4226</v>
      </c>
    </row>
    <row r="176" spans="17:27" ht="13.8">
      <c r="Q176" s="385">
        <f t="shared" si="2"/>
        <v>170</v>
      </c>
      <c r="R176" s="386" t="s">
        <v>1684</v>
      </c>
      <c r="S176" s="386" t="s">
        <v>1685</v>
      </c>
      <c r="T176" s="387" t="s">
        <v>1213</v>
      </c>
      <c r="U176" s="385" t="s">
        <v>1686</v>
      </c>
      <c r="V176" s="385" t="s">
        <v>2932</v>
      </c>
      <c r="W176" s="386" t="s">
        <v>2932</v>
      </c>
      <c r="X176" s="324" t="s">
        <v>3363</v>
      </c>
      <c r="Y176" s="324" t="s">
        <v>3398</v>
      </c>
      <c r="Z176" s="322" t="s">
        <v>3379</v>
      </c>
      <c r="AA176" s="392">
        <v>2274</v>
      </c>
    </row>
    <row r="177" spans="17:27" ht="13.8">
      <c r="Q177" s="385">
        <f t="shared" si="2"/>
        <v>171</v>
      </c>
      <c r="R177" s="386" t="s">
        <v>1687</v>
      </c>
      <c r="S177" s="386" t="s">
        <v>1688</v>
      </c>
      <c r="T177" s="387" t="s">
        <v>1433</v>
      </c>
      <c r="U177" s="385" t="s">
        <v>1689</v>
      </c>
      <c r="V177" s="385" t="s">
        <v>2933</v>
      </c>
      <c r="W177" s="386" t="s">
        <v>2933</v>
      </c>
      <c r="X177" s="324" t="s">
        <v>3363</v>
      </c>
      <c r="Y177" s="324" t="s">
        <v>3398</v>
      </c>
      <c r="Z177" s="322" t="s">
        <v>3379</v>
      </c>
      <c r="AA177" s="392">
        <v>18579</v>
      </c>
    </row>
    <row r="178" spans="17:27" ht="13.8">
      <c r="Q178" s="385">
        <f t="shared" si="2"/>
        <v>172</v>
      </c>
      <c r="R178" s="386" t="s">
        <v>1690</v>
      </c>
      <c r="S178" s="386" t="s">
        <v>1691</v>
      </c>
      <c r="T178" s="387" t="s">
        <v>1293</v>
      </c>
      <c r="U178" s="385" t="s">
        <v>1692</v>
      </c>
      <c r="V178" s="385" t="s">
        <v>2934</v>
      </c>
      <c r="W178" s="386" t="s">
        <v>2934</v>
      </c>
      <c r="X178" s="324" t="s">
        <v>3363</v>
      </c>
      <c r="Y178" s="324" t="s">
        <v>3398</v>
      </c>
      <c r="Z178" s="322" t="s">
        <v>3379</v>
      </c>
      <c r="AA178" s="392">
        <v>1704</v>
      </c>
    </row>
    <row r="179" spans="17:27" ht="13.8">
      <c r="Q179" s="385">
        <f t="shared" si="2"/>
        <v>173</v>
      </c>
      <c r="R179" s="386" t="s">
        <v>1693</v>
      </c>
      <c r="S179" s="386" t="s">
        <v>1694</v>
      </c>
      <c r="T179" s="387" t="s">
        <v>1258</v>
      </c>
      <c r="U179" s="385" t="s">
        <v>1695</v>
      </c>
      <c r="V179" s="385" t="s">
        <v>2935</v>
      </c>
      <c r="W179" s="386" t="s">
        <v>2935</v>
      </c>
      <c r="X179" s="324" t="s">
        <v>3363</v>
      </c>
      <c r="Y179" s="324" t="s">
        <v>3398</v>
      </c>
      <c r="Z179" s="322" t="s">
        <v>3379</v>
      </c>
      <c r="AA179" s="392">
        <v>7527</v>
      </c>
    </row>
    <row r="180" spans="17:27" ht="13.8">
      <c r="Q180" s="385">
        <f t="shared" si="2"/>
        <v>174</v>
      </c>
      <c r="R180" s="386" t="s">
        <v>1696</v>
      </c>
      <c r="S180" s="386" t="s">
        <v>1697</v>
      </c>
      <c r="T180" s="387" t="s">
        <v>1176</v>
      </c>
      <c r="U180" s="385" t="s">
        <v>1698</v>
      </c>
      <c r="V180" s="385" t="s">
        <v>2936</v>
      </c>
      <c r="W180" s="386" t="s">
        <v>2936</v>
      </c>
      <c r="X180" s="324" t="s">
        <v>3363</v>
      </c>
      <c r="Y180" s="324" t="s">
        <v>3398</v>
      </c>
      <c r="Z180" s="322" t="s">
        <v>3379</v>
      </c>
      <c r="AA180" s="392">
        <v>11601</v>
      </c>
    </row>
    <row r="181" spans="17:27" ht="13.8">
      <c r="Q181" s="385">
        <f t="shared" si="2"/>
        <v>175</v>
      </c>
      <c r="R181" s="386" t="s">
        <v>1699</v>
      </c>
      <c r="S181" s="386" t="s">
        <v>1700</v>
      </c>
      <c r="T181" s="387" t="s">
        <v>1213</v>
      </c>
      <c r="U181" s="385" t="s">
        <v>1701</v>
      </c>
      <c r="V181" s="385" t="s">
        <v>3358</v>
      </c>
      <c r="W181" s="386" t="s">
        <v>3358</v>
      </c>
      <c r="X181" s="324" t="s">
        <v>3364</v>
      </c>
      <c r="Y181" s="324" t="s">
        <v>3398</v>
      </c>
      <c r="Z181" s="322" t="s">
        <v>3379</v>
      </c>
      <c r="AA181" s="392">
        <v>11456</v>
      </c>
    </row>
    <row r="182" spans="17:27" ht="13.8">
      <c r="Q182" s="385">
        <f t="shared" si="2"/>
        <v>176</v>
      </c>
      <c r="R182" s="386" t="s">
        <v>1702</v>
      </c>
      <c r="S182" s="386" t="s">
        <v>1703</v>
      </c>
      <c r="T182" s="387" t="s">
        <v>1213</v>
      </c>
      <c r="U182" s="385" t="s">
        <v>1704</v>
      </c>
      <c r="V182" s="385" t="s">
        <v>1703</v>
      </c>
      <c r="W182" s="386" t="s">
        <v>1433</v>
      </c>
      <c r="X182" s="324" t="s">
        <v>3362</v>
      </c>
      <c r="Y182" s="324" t="s">
        <v>3398</v>
      </c>
      <c r="Z182" s="322" t="s">
        <v>3380</v>
      </c>
      <c r="AA182" s="392">
        <v>64634</v>
      </c>
    </row>
    <row r="183" spans="17:27" ht="13.8">
      <c r="Q183" s="385">
        <f t="shared" si="2"/>
        <v>177</v>
      </c>
      <c r="R183" s="386" t="s">
        <v>1705</v>
      </c>
      <c r="S183" s="386" t="s">
        <v>1706</v>
      </c>
      <c r="T183" s="387" t="s">
        <v>1254</v>
      </c>
      <c r="U183" s="385" t="s">
        <v>1707</v>
      </c>
      <c r="V183" s="385" t="s">
        <v>1706</v>
      </c>
      <c r="W183" s="386" t="s">
        <v>3167</v>
      </c>
      <c r="X183" s="324" t="s">
        <v>3362</v>
      </c>
      <c r="Y183" s="324" t="s">
        <v>3399</v>
      </c>
      <c r="Z183" s="322" t="s">
        <v>3384</v>
      </c>
      <c r="AA183" s="392">
        <v>7203</v>
      </c>
    </row>
    <row r="184" spans="17:27" ht="13.8">
      <c r="Q184" s="385">
        <f t="shared" si="2"/>
        <v>178</v>
      </c>
      <c r="R184" s="386" t="s">
        <v>1708</v>
      </c>
      <c r="S184" s="386" t="s">
        <v>1709</v>
      </c>
      <c r="T184" s="387" t="s">
        <v>1197</v>
      </c>
      <c r="U184" s="385" t="s">
        <v>1710</v>
      </c>
      <c r="V184" s="385" t="s">
        <v>1709</v>
      </c>
      <c r="W184" s="386" t="s">
        <v>3168</v>
      </c>
      <c r="X184" s="324" t="s">
        <v>3362</v>
      </c>
      <c r="Y184" s="324" t="s">
        <v>3399</v>
      </c>
      <c r="Z184" s="322" t="s">
        <v>3384</v>
      </c>
      <c r="AA184" s="392">
        <v>3601</v>
      </c>
    </row>
    <row r="185" spans="17:27" ht="13.8">
      <c r="Q185" s="385">
        <f t="shared" si="2"/>
        <v>179</v>
      </c>
      <c r="R185" s="386" t="s">
        <v>1711</v>
      </c>
      <c r="S185" s="386" t="s">
        <v>1712</v>
      </c>
      <c r="T185" s="387" t="s">
        <v>1344</v>
      </c>
      <c r="U185" s="385" t="s">
        <v>1713</v>
      </c>
      <c r="V185" s="385" t="s">
        <v>1712</v>
      </c>
      <c r="W185" s="386" t="s">
        <v>3169</v>
      </c>
      <c r="X185" s="324" t="s">
        <v>3362</v>
      </c>
      <c r="Y185" s="324" t="s">
        <v>3399</v>
      </c>
      <c r="Z185" s="322" t="s">
        <v>3381</v>
      </c>
      <c r="AA185" s="392">
        <v>804</v>
      </c>
    </row>
    <row r="186" spans="17:27" ht="13.8">
      <c r="Q186" s="385">
        <f t="shared" si="2"/>
        <v>180</v>
      </c>
      <c r="R186" s="386" t="s">
        <v>1714</v>
      </c>
      <c r="S186" s="386" t="s">
        <v>1712</v>
      </c>
      <c r="T186" s="387" t="s">
        <v>1433</v>
      </c>
      <c r="U186" s="385" t="s">
        <v>1715</v>
      </c>
      <c r="V186" s="385" t="s">
        <v>1712</v>
      </c>
      <c r="W186" s="386" t="s">
        <v>3169</v>
      </c>
      <c r="X186" s="324" t="s">
        <v>3362</v>
      </c>
      <c r="Y186" s="324" t="s">
        <v>3398</v>
      </c>
      <c r="Z186" s="322" t="s">
        <v>3382</v>
      </c>
      <c r="AA186" s="392">
        <v>4899</v>
      </c>
    </row>
    <row r="187" spans="17:27" ht="13.8">
      <c r="Q187" s="385">
        <f t="shared" si="2"/>
        <v>181</v>
      </c>
      <c r="R187" s="386" t="s">
        <v>1716</v>
      </c>
      <c r="S187" s="386" t="s">
        <v>1712</v>
      </c>
      <c r="T187" s="387" t="s">
        <v>1190</v>
      </c>
      <c r="U187" s="385" t="s">
        <v>1717</v>
      </c>
      <c r="V187" s="385" t="s">
        <v>1712</v>
      </c>
      <c r="W187" s="386" t="s">
        <v>3169</v>
      </c>
      <c r="X187" s="324" t="s">
        <v>3362</v>
      </c>
      <c r="Y187" s="324" t="s">
        <v>3399</v>
      </c>
      <c r="Z187" s="322" t="s">
        <v>3384</v>
      </c>
      <c r="AA187" s="392">
        <v>5712</v>
      </c>
    </row>
    <row r="188" spans="17:27" ht="13.8">
      <c r="Q188" s="385">
        <f t="shared" si="2"/>
        <v>182</v>
      </c>
      <c r="R188" s="386" t="s">
        <v>1718</v>
      </c>
      <c r="S188" s="386" t="s">
        <v>1719</v>
      </c>
      <c r="T188" s="387" t="s">
        <v>1244</v>
      </c>
      <c r="U188" s="385" t="s">
        <v>1720</v>
      </c>
      <c r="V188" s="385" t="s">
        <v>3348</v>
      </c>
      <c r="W188" s="386" t="s">
        <v>3348</v>
      </c>
      <c r="X188" s="324" t="s">
        <v>2856</v>
      </c>
      <c r="Y188" s="324" t="s">
        <v>3398</v>
      </c>
      <c r="Z188" s="322" t="s">
        <v>3387</v>
      </c>
      <c r="AA188" s="392">
        <v>11176</v>
      </c>
    </row>
    <row r="189" spans="17:27" ht="13.8">
      <c r="Q189" s="385">
        <f t="shared" si="2"/>
        <v>183</v>
      </c>
      <c r="R189" s="386" t="s">
        <v>1721</v>
      </c>
      <c r="S189" s="386" t="s">
        <v>1722</v>
      </c>
      <c r="T189" s="387" t="s">
        <v>1176</v>
      </c>
      <c r="U189" s="385" t="s">
        <v>1723</v>
      </c>
      <c r="V189" s="385" t="s">
        <v>3319</v>
      </c>
      <c r="W189" s="386" t="s">
        <v>3319</v>
      </c>
      <c r="X189" s="324" t="s">
        <v>3364</v>
      </c>
      <c r="Y189" s="324" t="s">
        <v>3398</v>
      </c>
      <c r="Z189" s="322" t="s">
        <v>3385</v>
      </c>
      <c r="AA189" s="392">
        <v>43010</v>
      </c>
    </row>
    <row r="190" spans="17:27" ht="13.8">
      <c r="Q190" s="385">
        <f t="shared" si="2"/>
        <v>184</v>
      </c>
      <c r="R190" s="386" t="s">
        <v>1724</v>
      </c>
      <c r="S190" s="386" t="s">
        <v>1725</v>
      </c>
      <c r="T190" s="387" t="s">
        <v>1190</v>
      </c>
      <c r="U190" s="385" t="s">
        <v>1726</v>
      </c>
      <c r="V190" s="385" t="s">
        <v>3349</v>
      </c>
      <c r="W190" s="386" t="s">
        <v>3349</v>
      </c>
      <c r="X190" s="324" t="s">
        <v>2856</v>
      </c>
      <c r="Y190" s="324" t="s">
        <v>3398</v>
      </c>
      <c r="Z190" s="322" t="s">
        <v>3379</v>
      </c>
      <c r="AA190" s="392">
        <v>9724</v>
      </c>
    </row>
    <row r="191" spans="17:27" ht="13.8">
      <c r="Q191" s="385">
        <f t="shared" si="2"/>
        <v>185</v>
      </c>
      <c r="R191" s="386" t="s">
        <v>1727</v>
      </c>
      <c r="S191" s="386" t="s">
        <v>1728</v>
      </c>
      <c r="T191" s="387" t="s">
        <v>1213</v>
      </c>
      <c r="U191" s="385" t="s">
        <v>1729</v>
      </c>
      <c r="V191" s="385" t="s">
        <v>2937</v>
      </c>
      <c r="W191" s="386" t="s">
        <v>2937</v>
      </c>
      <c r="X191" s="324" t="s">
        <v>3363</v>
      </c>
      <c r="Y191" s="324" t="s">
        <v>3398</v>
      </c>
      <c r="Z191" s="322" t="s">
        <v>3379</v>
      </c>
      <c r="AA191" s="392">
        <v>7473</v>
      </c>
    </row>
    <row r="192" spans="17:27" ht="13.8">
      <c r="Q192" s="385">
        <f t="shared" si="2"/>
        <v>186</v>
      </c>
      <c r="R192" s="386" t="s">
        <v>1730</v>
      </c>
      <c r="S192" s="386" t="s">
        <v>1731</v>
      </c>
      <c r="T192" s="387" t="s">
        <v>1213</v>
      </c>
      <c r="U192" s="385" t="s">
        <v>1732</v>
      </c>
      <c r="V192" s="385" t="s">
        <v>1731</v>
      </c>
      <c r="W192" s="386" t="s">
        <v>3170</v>
      </c>
      <c r="X192" s="324" t="s">
        <v>3362</v>
      </c>
      <c r="Y192" s="324" t="s">
        <v>3400</v>
      </c>
      <c r="Z192" s="322" t="s">
        <v>3383</v>
      </c>
      <c r="AA192" s="392">
        <v>14707</v>
      </c>
    </row>
    <row r="193" spans="17:27" ht="13.8">
      <c r="Q193" s="385">
        <f t="shared" si="2"/>
        <v>187</v>
      </c>
      <c r="R193" s="386" t="s">
        <v>1733</v>
      </c>
      <c r="S193" s="386" t="s">
        <v>1734</v>
      </c>
      <c r="T193" s="387" t="s">
        <v>1213</v>
      </c>
      <c r="U193" s="385" t="s">
        <v>1735</v>
      </c>
      <c r="V193" s="385" t="s">
        <v>2938</v>
      </c>
      <c r="W193" s="386" t="s">
        <v>2938</v>
      </c>
      <c r="X193" s="324" t="s">
        <v>3363</v>
      </c>
      <c r="Y193" s="324" t="s">
        <v>3400</v>
      </c>
      <c r="Z193" s="322" t="s">
        <v>3383</v>
      </c>
      <c r="AA193" s="392">
        <v>11593</v>
      </c>
    </row>
    <row r="194" spans="17:27" ht="13.8">
      <c r="Q194" s="385">
        <f t="shared" si="2"/>
        <v>188</v>
      </c>
      <c r="R194" s="386" t="s">
        <v>1736</v>
      </c>
      <c r="S194" s="386" t="s">
        <v>1737</v>
      </c>
      <c r="T194" s="387" t="s">
        <v>1237</v>
      </c>
      <c r="U194" s="385" t="s">
        <v>1738</v>
      </c>
      <c r="V194" s="385" t="s">
        <v>1737</v>
      </c>
      <c r="W194" s="386" t="s">
        <v>3171</v>
      </c>
      <c r="X194" s="324" t="s">
        <v>3362</v>
      </c>
      <c r="Y194" s="324" t="s">
        <v>3399</v>
      </c>
      <c r="Z194" s="322" t="s">
        <v>3384</v>
      </c>
      <c r="AA194" s="392">
        <v>6110</v>
      </c>
    </row>
    <row r="195" spans="17:27" ht="13.8">
      <c r="Q195" s="385">
        <f t="shared" si="2"/>
        <v>189</v>
      </c>
      <c r="R195" s="386" t="s">
        <v>1739</v>
      </c>
      <c r="S195" s="386" t="s">
        <v>1740</v>
      </c>
      <c r="T195" s="387" t="s">
        <v>1306</v>
      </c>
      <c r="U195" s="385" t="s">
        <v>1741</v>
      </c>
      <c r="V195" s="385" t="s">
        <v>2939</v>
      </c>
      <c r="W195" s="386" t="s">
        <v>2939</v>
      </c>
      <c r="X195" s="324" t="s">
        <v>3363</v>
      </c>
      <c r="Y195" s="324" t="s">
        <v>3398</v>
      </c>
      <c r="Z195" s="322" t="s">
        <v>3379</v>
      </c>
      <c r="AA195" s="392">
        <v>8318</v>
      </c>
    </row>
    <row r="196" spans="17:27" ht="13.8">
      <c r="Q196" s="385">
        <f t="shared" si="2"/>
        <v>190</v>
      </c>
      <c r="R196" s="386" t="s">
        <v>1742</v>
      </c>
      <c r="S196" s="386" t="s">
        <v>1743</v>
      </c>
      <c r="T196" s="387" t="s">
        <v>1197</v>
      </c>
      <c r="U196" s="385" t="s">
        <v>1744</v>
      </c>
      <c r="V196" s="385" t="s">
        <v>2940</v>
      </c>
      <c r="W196" s="386" t="s">
        <v>2940</v>
      </c>
      <c r="X196" s="324" t="s">
        <v>3363</v>
      </c>
      <c r="Y196" s="324" t="s">
        <v>3398</v>
      </c>
      <c r="Z196" s="322" t="s">
        <v>3379</v>
      </c>
      <c r="AA196" s="392">
        <v>3277</v>
      </c>
    </row>
    <row r="197" spans="17:27" ht="13.8">
      <c r="Q197" s="385">
        <f t="shared" si="2"/>
        <v>191</v>
      </c>
      <c r="R197" s="386" t="s">
        <v>1745</v>
      </c>
      <c r="S197" s="386" t="s">
        <v>1746</v>
      </c>
      <c r="T197" s="387" t="s">
        <v>1172</v>
      </c>
      <c r="U197" s="385" t="s">
        <v>1747</v>
      </c>
      <c r="V197" s="385" t="s">
        <v>1746</v>
      </c>
      <c r="W197" s="386" t="s">
        <v>3172</v>
      </c>
      <c r="X197" s="324" t="s">
        <v>3362</v>
      </c>
      <c r="Y197" s="324" t="s">
        <v>3399</v>
      </c>
      <c r="Z197" s="322" t="s">
        <v>3384</v>
      </c>
      <c r="AA197" s="392">
        <v>26503</v>
      </c>
    </row>
    <row r="198" spans="17:27" ht="13.8">
      <c r="Q198" s="385">
        <f t="shared" si="2"/>
        <v>192</v>
      </c>
      <c r="R198" s="386" t="s">
        <v>1748</v>
      </c>
      <c r="S198" s="386" t="s">
        <v>1746</v>
      </c>
      <c r="T198" s="387" t="s">
        <v>1539</v>
      </c>
      <c r="U198" s="385" t="s">
        <v>1749</v>
      </c>
      <c r="V198" s="385" t="s">
        <v>1746</v>
      </c>
      <c r="W198" s="386" t="s">
        <v>3172</v>
      </c>
      <c r="X198" s="324" t="s">
        <v>3362</v>
      </c>
      <c r="Y198" s="324" t="s">
        <v>3398</v>
      </c>
      <c r="Z198" s="322" t="s">
        <v>3387</v>
      </c>
      <c r="AA198" s="392">
        <v>88464</v>
      </c>
    </row>
    <row r="199" spans="17:27" ht="13.8">
      <c r="Q199" s="385">
        <f t="shared" si="2"/>
        <v>193</v>
      </c>
      <c r="R199" s="386" t="s">
        <v>1750</v>
      </c>
      <c r="S199" s="386" t="s">
        <v>1751</v>
      </c>
      <c r="T199" s="387" t="s">
        <v>1172</v>
      </c>
      <c r="U199" s="385" t="s">
        <v>1752</v>
      </c>
      <c r="V199" s="385" t="s">
        <v>1751</v>
      </c>
      <c r="W199" s="386" t="s">
        <v>3173</v>
      </c>
      <c r="X199" s="324" t="s">
        <v>3362</v>
      </c>
      <c r="Y199" s="324" t="s">
        <v>3398</v>
      </c>
      <c r="Z199" s="322" t="s">
        <v>3379</v>
      </c>
      <c r="AA199" s="392">
        <v>14791</v>
      </c>
    </row>
    <row r="200" spans="17:27" ht="13.8">
      <c r="Q200" s="385">
        <f t="shared" si="2"/>
        <v>194</v>
      </c>
      <c r="R200" s="386" t="s">
        <v>1753</v>
      </c>
      <c r="S200" s="386" t="s">
        <v>1754</v>
      </c>
      <c r="T200" s="387" t="s">
        <v>1293</v>
      </c>
      <c r="U200" s="385" t="s">
        <v>1755</v>
      </c>
      <c r="V200" s="385" t="s">
        <v>2941</v>
      </c>
      <c r="W200" s="386" t="s">
        <v>2941</v>
      </c>
      <c r="X200" s="324" t="s">
        <v>3363</v>
      </c>
      <c r="Y200" s="324" t="s">
        <v>3398</v>
      </c>
      <c r="Z200" s="322" t="s">
        <v>3379</v>
      </c>
      <c r="AA200" s="392">
        <v>1401</v>
      </c>
    </row>
    <row r="201" spans="17:27" ht="13.8">
      <c r="Q201" s="385">
        <f t="shared" ref="Q201:Q264" si="3">Q200+1</f>
        <v>195</v>
      </c>
      <c r="R201" s="386" t="s">
        <v>1756</v>
      </c>
      <c r="S201" s="386" t="s">
        <v>1757</v>
      </c>
      <c r="T201" s="387" t="s">
        <v>1197</v>
      </c>
      <c r="U201" s="385" t="s">
        <v>1758</v>
      </c>
      <c r="V201" s="385" t="s">
        <v>1757</v>
      </c>
      <c r="W201" s="386" t="s">
        <v>2941</v>
      </c>
      <c r="X201" s="324" t="s">
        <v>3362</v>
      </c>
      <c r="Y201" s="324" t="s">
        <v>3399</v>
      </c>
      <c r="Z201" s="322" t="s">
        <v>3384</v>
      </c>
      <c r="AA201" s="392">
        <v>5196</v>
      </c>
    </row>
    <row r="202" spans="17:27" ht="13.8">
      <c r="Q202" s="385">
        <f t="shared" si="3"/>
        <v>196</v>
      </c>
      <c r="R202" s="386" t="s">
        <v>1759</v>
      </c>
      <c r="S202" s="386" t="s">
        <v>1760</v>
      </c>
      <c r="T202" s="387" t="s">
        <v>1316</v>
      </c>
      <c r="U202" s="385" t="s">
        <v>1761</v>
      </c>
      <c r="V202" s="385" t="s">
        <v>1760</v>
      </c>
      <c r="W202" s="386" t="s">
        <v>3174</v>
      </c>
      <c r="X202" s="324" t="s">
        <v>3362</v>
      </c>
      <c r="Y202" s="324" t="s">
        <v>3399</v>
      </c>
      <c r="Z202" s="322" t="s">
        <v>3384</v>
      </c>
      <c r="AA202" s="392">
        <v>13712</v>
      </c>
    </row>
    <row r="203" spans="17:27" ht="13.8">
      <c r="Q203" s="385">
        <f t="shared" si="3"/>
        <v>197</v>
      </c>
      <c r="R203" s="386" t="s">
        <v>1762</v>
      </c>
      <c r="S203" s="386" t="s">
        <v>1763</v>
      </c>
      <c r="T203" s="387" t="s">
        <v>1316</v>
      </c>
      <c r="U203" s="385" t="s">
        <v>1764</v>
      </c>
      <c r="V203" s="385" t="s">
        <v>1763</v>
      </c>
      <c r="W203" s="386" t="s">
        <v>3175</v>
      </c>
      <c r="X203" s="324" t="s">
        <v>3362</v>
      </c>
      <c r="Y203" s="324" t="s">
        <v>3399</v>
      </c>
      <c r="Z203" s="322" t="s">
        <v>3384</v>
      </c>
      <c r="AA203" s="392">
        <v>3838</v>
      </c>
    </row>
    <row r="204" spans="17:27" ht="13.8">
      <c r="Q204" s="385">
        <f t="shared" si="3"/>
        <v>198</v>
      </c>
      <c r="R204" s="386" t="s">
        <v>1765</v>
      </c>
      <c r="S204" s="386" t="s">
        <v>1766</v>
      </c>
      <c r="T204" s="387" t="s">
        <v>1190</v>
      </c>
      <c r="U204" s="385" t="s">
        <v>1767</v>
      </c>
      <c r="V204" s="385" t="s">
        <v>1766</v>
      </c>
      <c r="W204" s="386" t="s">
        <v>3176</v>
      </c>
      <c r="X204" s="324" t="s">
        <v>3362</v>
      </c>
      <c r="Y204" s="324" t="s">
        <v>3399</v>
      </c>
      <c r="Z204" s="322" t="s">
        <v>3381</v>
      </c>
      <c r="AA204" s="392">
        <v>1696</v>
      </c>
    </row>
    <row r="205" spans="17:27" ht="13.8">
      <c r="Q205" s="385">
        <f t="shared" si="3"/>
        <v>199</v>
      </c>
      <c r="R205" s="386" t="s">
        <v>1768</v>
      </c>
      <c r="S205" s="386" t="s">
        <v>1769</v>
      </c>
      <c r="T205" s="387" t="s">
        <v>1197</v>
      </c>
      <c r="U205" s="385" t="s">
        <v>1770</v>
      </c>
      <c r="V205" s="385" t="s">
        <v>1769</v>
      </c>
      <c r="W205" s="386" t="s">
        <v>3177</v>
      </c>
      <c r="X205" s="324" t="s">
        <v>3362</v>
      </c>
      <c r="Y205" s="324" t="s">
        <v>3398</v>
      </c>
      <c r="Z205" s="322" t="s">
        <v>3385</v>
      </c>
      <c r="AA205" s="392">
        <v>8213</v>
      </c>
    </row>
    <row r="206" spans="17:27" ht="13.8">
      <c r="Q206" s="385">
        <f t="shared" si="3"/>
        <v>200</v>
      </c>
      <c r="R206" s="386" t="s">
        <v>1771</v>
      </c>
      <c r="S206" s="386" t="s">
        <v>1772</v>
      </c>
      <c r="T206" s="387" t="s">
        <v>1190</v>
      </c>
      <c r="U206" s="385" t="s">
        <v>1773</v>
      </c>
      <c r="V206" s="385" t="s">
        <v>1772</v>
      </c>
      <c r="W206" s="386" t="s">
        <v>3178</v>
      </c>
      <c r="X206" s="324" t="s">
        <v>3362</v>
      </c>
      <c r="Y206" s="324" t="s">
        <v>3399</v>
      </c>
      <c r="Z206" s="322" t="s">
        <v>3381</v>
      </c>
      <c r="AA206" s="392">
        <v>2667</v>
      </c>
    </row>
    <row r="207" spans="17:27" ht="13.8">
      <c r="Q207" s="385">
        <f t="shared" si="3"/>
        <v>201</v>
      </c>
      <c r="R207" s="386" t="s">
        <v>1774</v>
      </c>
      <c r="S207" s="386" t="s">
        <v>1775</v>
      </c>
      <c r="T207" s="387" t="s">
        <v>1176</v>
      </c>
      <c r="U207" s="385" t="s">
        <v>1776</v>
      </c>
      <c r="V207" s="385" t="s">
        <v>2942</v>
      </c>
      <c r="W207" s="386" t="s">
        <v>2942</v>
      </c>
      <c r="X207" s="324" t="s">
        <v>3363</v>
      </c>
      <c r="Y207" s="324" t="s">
        <v>3398</v>
      </c>
      <c r="Z207" s="322" t="s">
        <v>3379</v>
      </c>
      <c r="AA207" s="392">
        <v>4664</v>
      </c>
    </row>
    <row r="208" spans="17:27" ht="13.8">
      <c r="Q208" s="385">
        <f t="shared" si="3"/>
        <v>202</v>
      </c>
      <c r="R208" s="386" t="s">
        <v>1777</v>
      </c>
      <c r="S208" s="386" t="s">
        <v>1778</v>
      </c>
      <c r="T208" s="387" t="s">
        <v>1244</v>
      </c>
      <c r="U208" s="385" t="s">
        <v>1779</v>
      </c>
      <c r="V208" s="385" t="s">
        <v>3179</v>
      </c>
      <c r="W208" s="386" t="s">
        <v>3179</v>
      </c>
      <c r="X208" s="324" t="s">
        <v>2856</v>
      </c>
      <c r="Y208" s="324" t="s">
        <v>3398</v>
      </c>
      <c r="Z208" s="322" t="s">
        <v>3392</v>
      </c>
      <c r="AA208" s="392">
        <v>13620</v>
      </c>
    </row>
    <row r="209" spans="17:27" ht="13.8">
      <c r="Q209" s="385">
        <f t="shared" si="3"/>
        <v>203</v>
      </c>
      <c r="R209" s="386" t="s">
        <v>1780</v>
      </c>
      <c r="S209" s="386" t="s">
        <v>1781</v>
      </c>
      <c r="T209" s="387" t="s">
        <v>1433</v>
      </c>
      <c r="U209" s="385" t="s">
        <v>1782</v>
      </c>
      <c r="V209" s="385" t="s">
        <v>1781</v>
      </c>
      <c r="W209" s="386" t="s">
        <v>3179</v>
      </c>
      <c r="X209" s="324" t="s">
        <v>3362</v>
      </c>
      <c r="Y209" s="324" t="s">
        <v>3399</v>
      </c>
      <c r="Z209" s="322" t="s">
        <v>3384</v>
      </c>
      <c r="AA209" s="392">
        <v>12417</v>
      </c>
    </row>
    <row r="210" spans="17:27" ht="13.8">
      <c r="Q210" s="385">
        <f t="shared" si="3"/>
        <v>204</v>
      </c>
      <c r="R210" s="386" t="s">
        <v>1783</v>
      </c>
      <c r="S210" s="386" t="s">
        <v>1784</v>
      </c>
      <c r="T210" s="387" t="s">
        <v>1227</v>
      </c>
      <c r="U210" s="385" t="s">
        <v>1785</v>
      </c>
      <c r="V210" s="385" t="s">
        <v>2943</v>
      </c>
      <c r="W210" s="386" t="s">
        <v>2943</v>
      </c>
      <c r="X210" s="324" t="s">
        <v>3363</v>
      </c>
      <c r="Y210" s="324" t="s">
        <v>3400</v>
      </c>
      <c r="Z210" s="322" t="s">
        <v>3383</v>
      </c>
      <c r="AA210" s="392">
        <v>337</v>
      </c>
    </row>
    <row r="211" spans="17:27" ht="13.8">
      <c r="Q211" s="385">
        <f t="shared" si="3"/>
        <v>205</v>
      </c>
      <c r="R211" s="386" t="s">
        <v>1786</v>
      </c>
      <c r="S211" s="386" t="s">
        <v>1787</v>
      </c>
      <c r="T211" s="387" t="s">
        <v>1176</v>
      </c>
      <c r="U211" s="385" t="s">
        <v>1788</v>
      </c>
      <c r="V211" s="385" t="s">
        <v>2944</v>
      </c>
      <c r="W211" s="386" t="s">
        <v>2944</v>
      </c>
      <c r="X211" s="324" t="s">
        <v>3363</v>
      </c>
      <c r="Y211" s="324" t="s">
        <v>3398</v>
      </c>
      <c r="Z211" s="322" t="s">
        <v>3379</v>
      </c>
      <c r="AA211" s="392">
        <v>11842</v>
      </c>
    </row>
    <row r="212" spans="17:27" ht="13.8">
      <c r="Q212" s="385">
        <f t="shared" si="3"/>
        <v>206</v>
      </c>
      <c r="R212" s="386" t="s">
        <v>1789</v>
      </c>
      <c r="S212" s="386" t="s">
        <v>1790</v>
      </c>
      <c r="T212" s="387" t="s">
        <v>1176</v>
      </c>
      <c r="U212" s="385" t="s">
        <v>1791</v>
      </c>
      <c r="V212" s="385" t="s">
        <v>2945</v>
      </c>
      <c r="W212" s="386" t="s">
        <v>2945</v>
      </c>
      <c r="X212" s="324" t="s">
        <v>3363</v>
      </c>
      <c r="Y212" s="324" t="s">
        <v>3398</v>
      </c>
      <c r="Z212" s="322" t="s">
        <v>3379</v>
      </c>
      <c r="AA212" s="392">
        <v>3382</v>
      </c>
    </row>
    <row r="213" spans="17:27" ht="13.8">
      <c r="Q213" s="385">
        <f t="shared" si="3"/>
        <v>207</v>
      </c>
      <c r="R213" s="386" t="s">
        <v>1792</v>
      </c>
      <c r="S213" s="386" t="s">
        <v>1793</v>
      </c>
      <c r="T213" s="387" t="s">
        <v>1306</v>
      </c>
      <c r="U213" s="385" t="s">
        <v>1794</v>
      </c>
      <c r="V213" s="385" t="s">
        <v>2946</v>
      </c>
      <c r="W213" s="386" t="s">
        <v>2946</v>
      </c>
      <c r="X213" s="324" t="s">
        <v>3363</v>
      </c>
      <c r="Y213" s="324" t="s">
        <v>3398</v>
      </c>
      <c r="Z213" s="322" t="s">
        <v>3380</v>
      </c>
      <c r="AA213" s="392">
        <v>18791</v>
      </c>
    </row>
    <row r="214" spans="17:27" ht="13.8">
      <c r="Q214" s="385">
        <f t="shared" si="3"/>
        <v>208</v>
      </c>
      <c r="R214" s="386" t="s">
        <v>1795</v>
      </c>
      <c r="S214" s="386" t="s">
        <v>1796</v>
      </c>
      <c r="T214" s="387" t="s">
        <v>1168</v>
      </c>
      <c r="U214" s="385" t="s">
        <v>1797</v>
      </c>
      <c r="V214" s="385" t="s">
        <v>1796</v>
      </c>
      <c r="W214" s="386" t="s">
        <v>3180</v>
      </c>
      <c r="X214" s="324" t="s">
        <v>3362</v>
      </c>
      <c r="Y214" s="324" t="s">
        <v>3399</v>
      </c>
      <c r="Z214" s="322" t="s">
        <v>3384</v>
      </c>
      <c r="AA214" s="392">
        <v>20334</v>
      </c>
    </row>
    <row r="215" spans="17:27" ht="13.8">
      <c r="Q215" s="385">
        <f t="shared" si="3"/>
        <v>209</v>
      </c>
      <c r="R215" s="386" t="s">
        <v>1798</v>
      </c>
      <c r="S215" s="386" t="s">
        <v>1799</v>
      </c>
      <c r="T215" s="387" t="s">
        <v>1399</v>
      </c>
      <c r="U215" s="385" t="s">
        <v>1800</v>
      </c>
      <c r="V215" s="385" t="s">
        <v>2947</v>
      </c>
      <c r="W215" s="386" t="s">
        <v>2947</v>
      </c>
      <c r="X215" s="324" t="s">
        <v>3363</v>
      </c>
      <c r="Y215" s="324" t="s">
        <v>3398</v>
      </c>
      <c r="Z215" s="322" t="s">
        <v>3379</v>
      </c>
      <c r="AA215" s="392">
        <v>2178</v>
      </c>
    </row>
    <row r="216" spans="17:27" ht="13.8">
      <c r="Q216" s="385">
        <f t="shared" si="3"/>
        <v>210</v>
      </c>
      <c r="R216" s="386" t="s">
        <v>1801</v>
      </c>
      <c r="S216" s="386" t="s">
        <v>1802</v>
      </c>
      <c r="T216" s="387" t="s">
        <v>1293</v>
      </c>
      <c r="U216" s="385" t="s">
        <v>1803</v>
      </c>
      <c r="V216" s="385" t="s">
        <v>2948</v>
      </c>
      <c r="W216" s="386" t="s">
        <v>2948</v>
      </c>
      <c r="X216" s="324" t="s">
        <v>3363</v>
      </c>
      <c r="Y216" s="324" t="s">
        <v>3398</v>
      </c>
      <c r="Z216" s="322" t="s">
        <v>3379</v>
      </c>
      <c r="AA216" s="392">
        <v>3648</v>
      </c>
    </row>
    <row r="217" spans="17:27" ht="13.8">
      <c r="Q217" s="385">
        <f t="shared" si="3"/>
        <v>211</v>
      </c>
      <c r="R217" s="386" t="s">
        <v>1804</v>
      </c>
      <c r="S217" s="386" t="s">
        <v>1805</v>
      </c>
      <c r="T217" s="387" t="s">
        <v>1399</v>
      </c>
      <c r="U217" s="385" t="s">
        <v>1806</v>
      </c>
      <c r="V217" s="385" t="s">
        <v>2949</v>
      </c>
      <c r="W217" s="386" t="s">
        <v>2949</v>
      </c>
      <c r="X217" s="324" t="s">
        <v>3363</v>
      </c>
      <c r="Y217" s="324" t="s">
        <v>3398</v>
      </c>
      <c r="Z217" s="322" t="s">
        <v>3379</v>
      </c>
      <c r="AA217" s="392">
        <v>13982</v>
      </c>
    </row>
    <row r="218" spans="17:27" ht="13.8">
      <c r="Q218" s="385">
        <f t="shared" si="3"/>
        <v>212</v>
      </c>
      <c r="R218" s="386" t="s">
        <v>1807</v>
      </c>
      <c r="S218" s="386" t="s">
        <v>1808</v>
      </c>
      <c r="T218" s="387" t="s">
        <v>1168</v>
      </c>
      <c r="U218" s="385" t="s">
        <v>1809</v>
      </c>
      <c r="V218" s="385" t="s">
        <v>2950</v>
      </c>
      <c r="W218" s="386" t="s">
        <v>2950</v>
      </c>
      <c r="X218" s="324" t="s">
        <v>3363</v>
      </c>
      <c r="Y218" s="324" t="s">
        <v>3398</v>
      </c>
      <c r="Z218" s="322" t="s">
        <v>3382</v>
      </c>
      <c r="AA218" s="392">
        <v>5005</v>
      </c>
    </row>
    <row r="219" spans="17:27" ht="13.8">
      <c r="Q219" s="385">
        <f t="shared" si="3"/>
        <v>213</v>
      </c>
      <c r="R219" s="386" t="s">
        <v>1810</v>
      </c>
      <c r="S219" s="386" t="s">
        <v>1811</v>
      </c>
      <c r="T219" s="387" t="s">
        <v>1539</v>
      </c>
      <c r="U219" s="385" t="s">
        <v>1812</v>
      </c>
      <c r="V219" s="385" t="s">
        <v>2951</v>
      </c>
      <c r="W219" s="386" t="s">
        <v>2951</v>
      </c>
      <c r="X219" s="324" t="s">
        <v>3363</v>
      </c>
      <c r="Y219" s="324" t="s">
        <v>3398</v>
      </c>
      <c r="Z219" s="322" t="s">
        <v>3379</v>
      </c>
      <c r="AA219" s="392">
        <v>5494</v>
      </c>
    </row>
    <row r="220" spans="17:27" ht="13.8">
      <c r="Q220" s="385">
        <f t="shared" si="3"/>
        <v>214</v>
      </c>
      <c r="R220" s="386" t="s">
        <v>1813</v>
      </c>
      <c r="S220" s="386" t="s">
        <v>1814</v>
      </c>
      <c r="T220" s="387" t="s">
        <v>1254</v>
      </c>
      <c r="U220" s="385" t="s">
        <v>1815</v>
      </c>
      <c r="V220" s="385" t="s">
        <v>1814</v>
      </c>
      <c r="W220" s="386" t="s">
        <v>3181</v>
      </c>
      <c r="X220" s="324" t="s">
        <v>3362</v>
      </c>
      <c r="Y220" s="324" t="s">
        <v>3399</v>
      </c>
      <c r="Z220" s="322" t="s">
        <v>3384</v>
      </c>
      <c r="AA220" s="392">
        <v>38303</v>
      </c>
    </row>
    <row r="221" spans="17:27" ht="13.8">
      <c r="Q221" s="385">
        <f t="shared" si="3"/>
        <v>215</v>
      </c>
      <c r="R221" s="386" t="s">
        <v>1816</v>
      </c>
      <c r="S221" s="386" t="s">
        <v>1817</v>
      </c>
      <c r="T221" s="387" t="s">
        <v>1176</v>
      </c>
      <c r="U221" s="385" t="s">
        <v>1818</v>
      </c>
      <c r="V221" s="385" t="s">
        <v>2952</v>
      </c>
      <c r="W221" s="386" t="s">
        <v>2952</v>
      </c>
      <c r="X221" s="324" t="s">
        <v>3363</v>
      </c>
      <c r="Y221" s="324" t="s">
        <v>3398</v>
      </c>
      <c r="Z221" s="322" t="s">
        <v>3379</v>
      </c>
      <c r="AA221" s="392">
        <v>10219</v>
      </c>
    </row>
    <row r="222" spans="17:27" ht="13.8">
      <c r="Q222" s="385">
        <f t="shared" si="3"/>
        <v>216</v>
      </c>
      <c r="R222" s="386" t="s">
        <v>1819</v>
      </c>
      <c r="S222" s="386" t="s">
        <v>1820</v>
      </c>
      <c r="T222" s="387" t="s">
        <v>1274</v>
      </c>
      <c r="U222" s="385" t="s">
        <v>1821</v>
      </c>
      <c r="V222" s="385" t="s">
        <v>1820</v>
      </c>
      <c r="W222" s="386" t="s">
        <v>3182</v>
      </c>
      <c r="X222" s="324" t="s">
        <v>3362</v>
      </c>
      <c r="Y222" s="324" t="s">
        <v>3398</v>
      </c>
      <c r="Z222" s="322" t="s">
        <v>3380</v>
      </c>
      <c r="AA222" s="392">
        <v>21404</v>
      </c>
    </row>
    <row r="223" spans="17:27" ht="13.8">
      <c r="Q223" s="385">
        <f t="shared" si="3"/>
        <v>217</v>
      </c>
      <c r="R223" s="386" t="s">
        <v>1822</v>
      </c>
      <c r="S223" s="386" t="s">
        <v>1823</v>
      </c>
      <c r="T223" s="387" t="s">
        <v>1213</v>
      </c>
      <c r="U223" s="385" t="s">
        <v>1824</v>
      </c>
      <c r="V223" s="385" t="s">
        <v>2953</v>
      </c>
      <c r="W223" s="386" t="s">
        <v>2953</v>
      </c>
      <c r="X223" s="324" t="s">
        <v>3363</v>
      </c>
      <c r="Y223" s="324" t="s">
        <v>3398</v>
      </c>
      <c r="Z223" s="322" t="s">
        <v>3379</v>
      </c>
      <c r="AA223" s="392">
        <v>870</v>
      </c>
    </row>
    <row r="224" spans="17:27" ht="13.8">
      <c r="Q224" s="385">
        <f t="shared" si="3"/>
        <v>218</v>
      </c>
      <c r="R224" s="386" t="s">
        <v>1825</v>
      </c>
      <c r="S224" s="386" t="s">
        <v>1826</v>
      </c>
      <c r="T224" s="387" t="s">
        <v>1244</v>
      </c>
      <c r="U224" s="385" t="s">
        <v>1827</v>
      </c>
      <c r="V224" s="385" t="s">
        <v>3320</v>
      </c>
      <c r="W224" s="386" t="s">
        <v>3320</v>
      </c>
      <c r="X224" s="324" t="s">
        <v>3364</v>
      </c>
      <c r="Y224" s="324" t="s">
        <v>3398</v>
      </c>
      <c r="Z224" s="322" t="s">
        <v>3386</v>
      </c>
      <c r="AA224" s="392">
        <v>50005</v>
      </c>
    </row>
    <row r="225" spans="17:27" ht="13.8">
      <c r="Q225" s="385">
        <f t="shared" si="3"/>
        <v>219</v>
      </c>
      <c r="R225" s="386" t="s">
        <v>1828</v>
      </c>
      <c r="S225" s="386" t="s">
        <v>1829</v>
      </c>
      <c r="T225" s="387" t="s">
        <v>1176</v>
      </c>
      <c r="U225" s="385" t="s">
        <v>1830</v>
      </c>
      <c r="V225" s="385" t="s">
        <v>2954</v>
      </c>
      <c r="W225" s="386" t="s">
        <v>2954</v>
      </c>
      <c r="X225" s="324" t="s">
        <v>3363</v>
      </c>
      <c r="Y225" s="324" t="s">
        <v>3398</v>
      </c>
      <c r="Z225" s="322" t="s">
        <v>3379</v>
      </c>
      <c r="AA225" s="392">
        <v>4078</v>
      </c>
    </row>
    <row r="226" spans="17:27" ht="13.8">
      <c r="Q226" s="385">
        <f t="shared" si="3"/>
        <v>220</v>
      </c>
      <c r="R226" s="386" t="s">
        <v>1831</v>
      </c>
      <c r="S226" s="386" t="s">
        <v>1832</v>
      </c>
      <c r="T226" s="387" t="s">
        <v>1293</v>
      </c>
      <c r="U226" s="385" t="s">
        <v>1833</v>
      </c>
      <c r="V226" s="385" t="s">
        <v>1832</v>
      </c>
      <c r="W226" s="386" t="s">
        <v>3183</v>
      </c>
      <c r="X226" s="324" t="s">
        <v>3362</v>
      </c>
      <c r="Y226" s="324" t="s">
        <v>3399</v>
      </c>
      <c r="Z226" s="322" t="s">
        <v>3384</v>
      </c>
      <c r="AA226" s="392">
        <v>5291</v>
      </c>
    </row>
    <row r="227" spans="17:27" ht="13.8">
      <c r="Q227" s="385">
        <f t="shared" si="3"/>
        <v>221</v>
      </c>
      <c r="R227" s="386" t="s">
        <v>1834</v>
      </c>
      <c r="S227" s="386" t="s">
        <v>1835</v>
      </c>
      <c r="T227" s="387" t="s">
        <v>1168</v>
      </c>
      <c r="U227" s="385" t="s">
        <v>1836</v>
      </c>
      <c r="V227" s="385" t="s">
        <v>1835</v>
      </c>
      <c r="W227" s="386" t="s">
        <v>3184</v>
      </c>
      <c r="X227" s="324" t="s">
        <v>3362</v>
      </c>
      <c r="Y227" s="324" t="s">
        <v>3399</v>
      </c>
      <c r="Z227" s="322" t="s">
        <v>3384</v>
      </c>
      <c r="AA227" s="392">
        <v>16773</v>
      </c>
    </row>
    <row r="228" spans="17:27" ht="13.8">
      <c r="Q228" s="385">
        <f t="shared" si="3"/>
        <v>222</v>
      </c>
      <c r="R228" s="386" t="s">
        <v>1837</v>
      </c>
      <c r="S228" s="386" t="s">
        <v>1838</v>
      </c>
      <c r="T228" s="387" t="s">
        <v>1197</v>
      </c>
      <c r="U228" s="385" t="s">
        <v>1839</v>
      </c>
      <c r="V228" s="385" t="s">
        <v>2955</v>
      </c>
      <c r="W228" s="386" t="s">
        <v>2955</v>
      </c>
      <c r="X228" s="324" t="s">
        <v>3363</v>
      </c>
      <c r="Y228" s="324" t="s">
        <v>3398</v>
      </c>
      <c r="Z228" s="322" t="s">
        <v>3379</v>
      </c>
      <c r="AA228" s="392">
        <v>15147</v>
      </c>
    </row>
    <row r="229" spans="17:27" ht="13.8">
      <c r="Q229" s="385">
        <f t="shared" si="3"/>
        <v>223</v>
      </c>
      <c r="R229" s="386" t="s">
        <v>1840</v>
      </c>
      <c r="S229" s="386" t="s">
        <v>1841</v>
      </c>
      <c r="T229" s="387" t="s">
        <v>1190</v>
      </c>
      <c r="U229" s="385" t="s">
        <v>1842</v>
      </c>
      <c r="V229" s="385" t="s">
        <v>1841</v>
      </c>
      <c r="W229" s="386" t="s">
        <v>3185</v>
      </c>
      <c r="X229" s="324" t="s">
        <v>3362</v>
      </c>
      <c r="Y229" s="324" t="s">
        <v>3399</v>
      </c>
      <c r="Z229" s="322" t="s">
        <v>3381</v>
      </c>
      <c r="AA229" s="392">
        <v>1952</v>
      </c>
    </row>
    <row r="230" spans="17:27" ht="13.8">
      <c r="Q230" s="385">
        <f t="shared" si="3"/>
        <v>224</v>
      </c>
      <c r="R230" s="386" t="s">
        <v>1843</v>
      </c>
      <c r="S230" s="386" t="s">
        <v>1844</v>
      </c>
      <c r="T230" s="387" t="s">
        <v>1539</v>
      </c>
      <c r="U230" s="385" t="s">
        <v>1845</v>
      </c>
      <c r="V230" s="385" t="s">
        <v>2956</v>
      </c>
      <c r="W230" s="386" t="s">
        <v>2956</v>
      </c>
      <c r="X230" s="324" t="s">
        <v>3363</v>
      </c>
      <c r="Y230" s="324" t="s">
        <v>3398</v>
      </c>
      <c r="Z230" s="322" t="s">
        <v>3379</v>
      </c>
      <c r="AA230" s="392">
        <v>1922</v>
      </c>
    </row>
    <row r="231" spans="17:27" ht="13.8">
      <c r="Q231" s="385">
        <f t="shared" si="3"/>
        <v>225</v>
      </c>
      <c r="R231" s="386" t="s">
        <v>1846</v>
      </c>
      <c r="S231" s="386" t="s">
        <v>1847</v>
      </c>
      <c r="T231" s="387" t="s">
        <v>1344</v>
      </c>
      <c r="U231" s="385" t="s">
        <v>1848</v>
      </c>
      <c r="V231" s="385" t="s">
        <v>1847</v>
      </c>
      <c r="W231" s="386" t="s">
        <v>2956</v>
      </c>
      <c r="X231" s="324" t="s">
        <v>3362</v>
      </c>
      <c r="Y231" s="324" t="s">
        <v>3399</v>
      </c>
      <c r="Z231" s="322" t="s">
        <v>3384</v>
      </c>
      <c r="AA231" s="392">
        <v>4571</v>
      </c>
    </row>
    <row r="232" spans="17:27" ht="13.8">
      <c r="Q232" s="385">
        <f t="shared" si="3"/>
        <v>226</v>
      </c>
      <c r="R232" s="386" t="s">
        <v>1849</v>
      </c>
      <c r="S232" s="386" t="s">
        <v>1847</v>
      </c>
      <c r="T232" s="387" t="s">
        <v>1539</v>
      </c>
      <c r="U232" s="385" t="s">
        <v>1850</v>
      </c>
      <c r="V232" s="385" t="s">
        <v>1847</v>
      </c>
      <c r="W232" s="386" t="s">
        <v>2956</v>
      </c>
      <c r="X232" s="324" t="s">
        <v>3362</v>
      </c>
      <c r="Y232" s="324" t="s">
        <v>3399</v>
      </c>
      <c r="Z232" s="322" t="s">
        <v>3384</v>
      </c>
      <c r="AA232" s="392">
        <v>17304</v>
      </c>
    </row>
    <row r="233" spans="17:27" ht="13.8">
      <c r="Q233" s="385">
        <f t="shared" si="3"/>
        <v>227</v>
      </c>
      <c r="R233" s="386" t="s">
        <v>1851</v>
      </c>
      <c r="S233" s="386" t="s">
        <v>1852</v>
      </c>
      <c r="T233" s="387" t="s">
        <v>1168</v>
      </c>
      <c r="U233" s="385" t="s">
        <v>1853</v>
      </c>
      <c r="V233" s="385" t="s">
        <v>1852</v>
      </c>
      <c r="W233" s="386" t="s">
        <v>3186</v>
      </c>
      <c r="X233" s="324" t="s">
        <v>3362</v>
      </c>
      <c r="Y233" s="324" t="s">
        <v>3398</v>
      </c>
      <c r="Z233" s="322" t="s">
        <v>3382</v>
      </c>
      <c r="AA233" s="392">
        <v>51075</v>
      </c>
    </row>
    <row r="234" spans="17:27" ht="13.8">
      <c r="Q234" s="385">
        <f t="shared" si="3"/>
        <v>228</v>
      </c>
      <c r="R234" s="386" t="s">
        <v>1854</v>
      </c>
      <c r="S234" s="386" t="s">
        <v>1855</v>
      </c>
      <c r="T234" s="387" t="s">
        <v>1190</v>
      </c>
      <c r="U234" s="385" t="s">
        <v>1856</v>
      </c>
      <c r="V234" s="385" t="s">
        <v>1855</v>
      </c>
      <c r="W234" s="386" t="s">
        <v>3187</v>
      </c>
      <c r="X234" s="324" t="s">
        <v>3362</v>
      </c>
      <c r="Y234" s="324" t="s">
        <v>3399</v>
      </c>
      <c r="Z234" s="322" t="s">
        <v>3384</v>
      </c>
      <c r="AA234" s="392">
        <v>5662</v>
      </c>
    </row>
    <row r="235" spans="17:27" ht="13.8">
      <c r="Q235" s="385">
        <f t="shared" si="3"/>
        <v>229</v>
      </c>
      <c r="R235" s="386" t="s">
        <v>1857</v>
      </c>
      <c r="S235" s="386" t="s">
        <v>1858</v>
      </c>
      <c r="T235" s="387" t="s">
        <v>1168</v>
      </c>
      <c r="U235" s="385" t="s">
        <v>1859</v>
      </c>
      <c r="V235" s="385" t="s">
        <v>2957</v>
      </c>
      <c r="W235" s="386" t="s">
        <v>2957</v>
      </c>
      <c r="X235" s="324" t="s">
        <v>3363</v>
      </c>
      <c r="Y235" s="324" t="s">
        <v>3398</v>
      </c>
      <c r="Z235" s="322" t="s">
        <v>3379</v>
      </c>
      <c r="AA235" s="392">
        <v>820</v>
      </c>
    </row>
    <row r="236" spans="17:27" ht="13.8">
      <c r="Q236" s="385">
        <f t="shared" si="3"/>
        <v>230</v>
      </c>
      <c r="R236" s="386" t="s">
        <v>1860</v>
      </c>
      <c r="S236" s="386" t="s">
        <v>1861</v>
      </c>
      <c r="T236" s="387" t="s">
        <v>1258</v>
      </c>
      <c r="U236" s="385" t="s">
        <v>1862</v>
      </c>
      <c r="V236" s="385" t="s">
        <v>1861</v>
      </c>
      <c r="W236" s="386" t="s">
        <v>3188</v>
      </c>
      <c r="X236" s="324" t="s">
        <v>3362</v>
      </c>
      <c r="Y236" s="324" t="s">
        <v>3398</v>
      </c>
      <c r="Z236" s="322" t="s">
        <v>3379</v>
      </c>
      <c r="AA236" s="392">
        <v>53926</v>
      </c>
    </row>
    <row r="237" spans="17:27" ht="13.8">
      <c r="Q237" s="385">
        <f t="shared" si="3"/>
        <v>231</v>
      </c>
      <c r="R237" s="386" t="s">
        <v>1863</v>
      </c>
      <c r="S237" s="386" t="s">
        <v>1864</v>
      </c>
      <c r="T237" s="387" t="s">
        <v>1227</v>
      </c>
      <c r="U237" s="385" t="s">
        <v>1865</v>
      </c>
      <c r="V237" s="385" t="s">
        <v>2958</v>
      </c>
      <c r="W237" s="386" t="s">
        <v>2958</v>
      </c>
      <c r="X237" s="324" t="s">
        <v>3363</v>
      </c>
      <c r="Y237" s="324" t="s">
        <v>3398</v>
      </c>
      <c r="Z237" s="322" t="s">
        <v>3379</v>
      </c>
      <c r="AA237" s="392">
        <v>1673</v>
      </c>
    </row>
    <row r="238" spans="17:27" ht="13.8">
      <c r="Q238" s="385">
        <f t="shared" si="3"/>
        <v>232</v>
      </c>
      <c r="R238" s="386" t="s">
        <v>1866</v>
      </c>
      <c r="S238" s="386" t="s">
        <v>1867</v>
      </c>
      <c r="T238" s="387" t="s">
        <v>1227</v>
      </c>
      <c r="U238" s="385" t="s">
        <v>1868</v>
      </c>
      <c r="V238" s="385" t="s">
        <v>1867</v>
      </c>
      <c r="W238" s="386" t="s">
        <v>3189</v>
      </c>
      <c r="X238" s="324" t="s">
        <v>3362</v>
      </c>
      <c r="Y238" s="324" t="s">
        <v>3399</v>
      </c>
      <c r="Z238" s="322" t="s">
        <v>3384</v>
      </c>
      <c r="AA238" s="392">
        <v>54856</v>
      </c>
    </row>
    <row r="239" spans="17:27" ht="13.8">
      <c r="Q239" s="385">
        <f t="shared" si="3"/>
        <v>233</v>
      </c>
      <c r="R239" s="386" t="s">
        <v>1869</v>
      </c>
      <c r="S239" s="386" t="s">
        <v>1870</v>
      </c>
      <c r="T239" s="387" t="s">
        <v>1399</v>
      </c>
      <c r="U239" s="385" t="s">
        <v>1871</v>
      </c>
      <c r="V239" s="385" t="s">
        <v>2959</v>
      </c>
      <c r="W239" s="386" t="s">
        <v>2959</v>
      </c>
      <c r="X239" s="324" t="s">
        <v>3363</v>
      </c>
      <c r="Y239" s="324" t="s">
        <v>3398</v>
      </c>
      <c r="Z239" s="322" t="s">
        <v>3379</v>
      </c>
      <c r="AA239" s="392">
        <v>5915</v>
      </c>
    </row>
    <row r="240" spans="17:27" ht="13.8">
      <c r="Q240" s="385">
        <f t="shared" si="3"/>
        <v>234</v>
      </c>
      <c r="R240" s="386" t="s">
        <v>1872</v>
      </c>
      <c r="S240" s="386" t="s">
        <v>1873</v>
      </c>
      <c r="T240" s="387" t="s">
        <v>1316</v>
      </c>
      <c r="U240" s="385" t="s">
        <v>1874</v>
      </c>
      <c r="V240" s="385" t="s">
        <v>1873</v>
      </c>
      <c r="W240" s="386" t="s">
        <v>3190</v>
      </c>
      <c r="X240" s="324" t="s">
        <v>3362</v>
      </c>
      <c r="Y240" s="324" t="s">
        <v>3398</v>
      </c>
      <c r="Z240" s="322" t="s">
        <v>3387</v>
      </c>
      <c r="AA240" s="392">
        <v>21314</v>
      </c>
    </row>
    <row r="241" spans="17:27" ht="13.8">
      <c r="Q241" s="385">
        <f t="shared" si="3"/>
        <v>235</v>
      </c>
      <c r="R241" s="386" t="s">
        <v>1875</v>
      </c>
      <c r="S241" s="386" t="s">
        <v>1876</v>
      </c>
      <c r="T241" s="387" t="s">
        <v>1244</v>
      </c>
      <c r="U241" s="385" t="s">
        <v>1877</v>
      </c>
      <c r="V241" s="385" t="s">
        <v>3359</v>
      </c>
      <c r="W241" s="386" t="s">
        <v>3359</v>
      </c>
      <c r="X241" s="324" t="s">
        <v>3364</v>
      </c>
      <c r="Y241" s="324" t="s">
        <v>3398</v>
      </c>
      <c r="Z241" s="322" t="s">
        <v>3386</v>
      </c>
      <c r="AA241" s="392">
        <v>247597</v>
      </c>
    </row>
    <row r="242" spans="17:27" ht="13.8">
      <c r="Q242" s="385">
        <f t="shared" si="3"/>
        <v>236</v>
      </c>
      <c r="R242" s="386" t="s">
        <v>1878</v>
      </c>
      <c r="S242" s="386" t="s">
        <v>1879</v>
      </c>
      <c r="T242" s="387" t="s">
        <v>1168</v>
      </c>
      <c r="U242" s="385" t="s">
        <v>1880</v>
      </c>
      <c r="V242" s="385" t="s">
        <v>2960</v>
      </c>
      <c r="W242" s="386" t="s">
        <v>2960</v>
      </c>
      <c r="X242" s="324" t="s">
        <v>3363</v>
      </c>
      <c r="Y242" s="324" t="s">
        <v>3398</v>
      </c>
      <c r="Z242" s="322" t="s">
        <v>3385</v>
      </c>
      <c r="AA242" s="392">
        <v>10105</v>
      </c>
    </row>
    <row r="243" spans="17:27" ht="13.8">
      <c r="Q243" s="385">
        <f t="shared" si="3"/>
        <v>237</v>
      </c>
      <c r="R243" s="386" t="s">
        <v>1881</v>
      </c>
      <c r="S243" s="386" t="s">
        <v>1882</v>
      </c>
      <c r="T243" s="387" t="s">
        <v>1244</v>
      </c>
      <c r="U243" s="385" t="s">
        <v>1883</v>
      </c>
      <c r="V243" s="385" t="s">
        <v>3350</v>
      </c>
      <c r="W243" s="386" t="s">
        <v>3350</v>
      </c>
      <c r="X243" s="324" t="s">
        <v>2856</v>
      </c>
      <c r="Y243" s="324" t="s">
        <v>3398</v>
      </c>
      <c r="Z243" s="322" t="s">
        <v>3392</v>
      </c>
      <c r="AA243" s="392">
        <v>40684</v>
      </c>
    </row>
    <row r="244" spans="17:27" ht="13.8">
      <c r="Q244" s="385">
        <f t="shared" si="3"/>
        <v>238</v>
      </c>
      <c r="R244" s="386" t="s">
        <v>1884</v>
      </c>
      <c r="S244" s="386" t="s">
        <v>1885</v>
      </c>
      <c r="T244" s="387" t="s">
        <v>1274</v>
      </c>
      <c r="U244" s="385" t="s">
        <v>1886</v>
      </c>
      <c r="V244" s="385" t="s">
        <v>2961</v>
      </c>
      <c r="W244" s="386" t="s">
        <v>2961</v>
      </c>
      <c r="X244" s="324" t="s">
        <v>3363</v>
      </c>
      <c r="Y244" s="324" t="s">
        <v>3398</v>
      </c>
      <c r="Z244" s="322" t="s">
        <v>3379</v>
      </c>
      <c r="AA244" s="392">
        <v>7914</v>
      </c>
    </row>
    <row r="245" spans="17:27" ht="13.8">
      <c r="Q245" s="385">
        <f t="shared" si="3"/>
        <v>239</v>
      </c>
      <c r="R245" s="386" t="s">
        <v>1887</v>
      </c>
      <c r="S245" s="386" t="s">
        <v>1888</v>
      </c>
      <c r="T245" s="387" t="s">
        <v>1168</v>
      </c>
      <c r="U245" s="385" t="s">
        <v>1889</v>
      </c>
      <c r="V245" s="385" t="s">
        <v>2962</v>
      </c>
      <c r="W245" s="386" t="s">
        <v>2962</v>
      </c>
      <c r="X245" s="324" t="s">
        <v>3363</v>
      </c>
      <c r="Y245" s="324" t="s">
        <v>3398</v>
      </c>
      <c r="Z245" s="322" t="s">
        <v>3379</v>
      </c>
      <c r="AA245" s="392">
        <v>7240</v>
      </c>
    </row>
    <row r="246" spans="17:27" ht="13.8">
      <c r="Q246" s="385">
        <f t="shared" si="3"/>
        <v>240</v>
      </c>
      <c r="R246" s="386" t="s">
        <v>1890</v>
      </c>
      <c r="S246" s="386" t="s">
        <v>1891</v>
      </c>
      <c r="T246" s="387" t="s">
        <v>1293</v>
      </c>
      <c r="U246" s="385" t="s">
        <v>1892</v>
      </c>
      <c r="V246" s="385" t="s">
        <v>1891</v>
      </c>
      <c r="W246" s="386" t="s">
        <v>3191</v>
      </c>
      <c r="X246" s="324" t="s">
        <v>3362</v>
      </c>
      <c r="Y246" s="324" t="s">
        <v>3399</v>
      </c>
      <c r="Z246" s="322" t="s">
        <v>3381</v>
      </c>
      <c r="AA246" s="392">
        <v>3845</v>
      </c>
    </row>
    <row r="247" spans="17:27" ht="13.8">
      <c r="Q247" s="385">
        <f t="shared" si="3"/>
        <v>241</v>
      </c>
      <c r="R247" s="386" t="s">
        <v>1893</v>
      </c>
      <c r="S247" s="386" t="s">
        <v>1894</v>
      </c>
      <c r="T247" s="387" t="s">
        <v>1316</v>
      </c>
      <c r="U247" s="385" t="s">
        <v>1895</v>
      </c>
      <c r="V247" s="385" t="s">
        <v>2963</v>
      </c>
      <c r="W247" s="386" t="s">
        <v>2963</v>
      </c>
      <c r="X247" s="324" t="s">
        <v>3363</v>
      </c>
      <c r="Y247" s="324" t="s">
        <v>3398</v>
      </c>
      <c r="Z247" s="322" t="s">
        <v>3379</v>
      </c>
      <c r="AA247" s="392">
        <v>10248</v>
      </c>
    </row>
    <row r="248" spans="17:27" ht="13.8">
      <c r="Q248" s="385">
        <f t="shared" si="3"/>
        <v>242</v>
      </c>
      <c r="R248" s="386" t="s">
        <v>1896</v>
      </c>
      <c r="S248" s="386" t="s">
        <v>1897</v>
      </c>
      <c r="T248" s="387" t="s">
        <v>1190</v>
      </c>
      <c r="U248" s="385" t="s">
        <v>1898</v>
      </c>
      <c r="V248" s="385" t="s">
        <v>1897</v>
      </c>
      <c r="W248" s="386" t="s">
        <v>3192</v>
      </c>
      <c r="X248" s="324" t="s">
        <v>3362</v>
      </c>
      <c r="Y248" s="324" t="s">
        <v>3399</v>
      </c>
      <c r="Z248" s="322" t="s">
        <v>3384</v>
      </c>
      <c r="AA248" s="392">
        <v>3055</v>
      </c>
    </row>
    <row r="249" spans="17:27" ht="13.8">
      <c r="Q249" s="385">
        <f t="shared" si="3"/>
        <v>243</v>
      </c>
      <c r="R249" s="386" t="s">
        <v>1899</v>
      </c>
      <c r="S249" s="386" t="s">
        <v>1900</v>
      </c>
      <c r="T249" s="387" t="s">
        <v>1227</v>
      </c>
      <c r="U249" s="385" t="s">
        <v>1901</v>
      </c>
      <c r="V249" s="385" t="s">
        <v>1900</v>
      </c>
      <c r="W249" s="386" t="s">
        <v>3193</v>
      </c>
      <c r="X249" s="324" t="s">
        <v>3362</v>
      </c>
      <c r="Y249" s="324" t="s">
        <v>3399</v>
      </c>
      <c r="Z249" s="322" t="s">
        <v>3384</v>
      </c>
      <c r="AA249" s="392">
        <v>27644</v>
      </c>
    </row>
    <row r="250" spans="17:27" ht="13.8">
      <c r="Q250" s="385">
        <f t="shared" si="3"/>
        <v>244</v>
      </c>
      <c r="R250" s="386" t="s">
        <v>1902</v>
      </c>
      <c r="S250" s="386" t="s">
        <v>1903</v>
      </c>
      <c r="T250" s="387" t="s">
        <v>1197</v>
      </c>
      <c r="U250" s="385" t="s">
        <v>1904</v>
      </c>
      <c r="V250" s="385" t="s">
        <v>1903</v>
      </c>
      <c r="W250" s="386" t="s">
        <v>3194</v>
      </c>
      <c r="X250" s="324" t="s">
        <v>3362</v>
      </c>
      <c r="Y250" s="324" t="s">
        <v>3399</v>
      </c>
      <c r="Z250" s="322" t="s">
        <v>3384</v>
      </c>
      <c r="AA250" s="392">
        <v>2538</v>
      </c>
    </row>
    <row r="251" spans="17:27" ht="13.8">
      <c r="Q251" s="385">
        <f t="shared" si="3"/>
        <v>245</v>
      </c>
      <c r="R251" s="386" t="s">
        <v>1905</v>
      </c>
      <c r="S251" s="386" t="s">
        <v>3377</v>
      </c>
      <c r="T251" s="387" t="s">
        <v>1168</v>
      </c>
      <c r="U251" s="385" t="s">
        <v>3378</v>
      </c>
      <c r="V251" s="385" t="s">
        <v>3376</v>
      </c>
      <c r="W251" s="386" t="s">
        <v>3376</v>
      </c>
      <c r="X251" s="324" t="s">
        <v>3363</v>
      </c>
      <c r="Y251" s="324" t="s">
        <v>3398</v>
      </c>
      <c r="Z251" s="322" t="s">
        <v>3379</v>
      </c>
      <c r="AA251" s="392">
        <v>1759</v>
      </c>
    </row>
    <row r="252" spans="17:27" ht="13.8">
      <c r="Q252" s="385">
        <f t="shared" si="3"/>
        <v>246</v>
      </c>
      <c r="R252" s="386" t="s">
        <v>1906</v>
      </c>
      <c r="S252" s="386" t="s">
        <v>1907</v>
      </c>
      <c r="T252" s="387" t="s">
        <v>1227</v>
      </c>
      <c r="U252" s="385" t="s">
        <v>1908</v>
      </c>
      <c r="V252" s="385" t="s">
        <v>2964</v>
      </c>
      <c r="W252" s="386" t="s">
        <v>2964</v>
      </c>
      <c r="X252" s="324" t="s">
        <v>3363</v>
      </c>
      <c r="Y252" s="324" t="s">
        <v>3398</v>
      </c>
      <c r="Z252" s="322" t="s">
        <v>3379</v>
      </c>
      <c r="AA252" s="392">
        <v>2654</v>
      </c>
    </row>
    <row r="253" spans="17:27" ht="13.8">
      <c r="Q253" s="385">
        <f t="shared" si="3"/>
        <v>247</v>
      </c>
      <c r="R253" s="386" t="s">
        <v>1909</v>
      </c>
      <c r="S253" s="386" t="s">
        <v>1910</v>
      </c>
      <c r="T253" s="387" t="s">
        <v>1227</v>
      </c>
      <c r="U253" s="385" t="s">
        <v>1911</v>
      </c>
      <c r="V253" s="385" t="s">
        <v>1910</v>
      </c>
      <c r="W253" s="386" t="s">
        <v>3195</v>
      </c>
      <c r="X253" s="324" t="s">
        <v>3362</v>
      </c>
      <c r="Y253" s="324" t="s">
        <v>3399</v>
      </c>
      <c r="Z253" s="322" t="s">
        <v>3384</v>
      </c>
      <c r="AA253" s="392">
        <v>92843</v>
      </c>
    </row>
    <row r="254" spans="17:27" ht="13.8">
      <c r="Q254" s="385">
        <f t="shared" si="3"/>
        <v>248</v>
      </c>
      <c r="R254" s="386" t="s">
        <v>1912</v>
      </c>
      <c r="S254" s="386" t="s">
        <v>1913</v>
      </c>
      <c r="T254" s="387" t="s">
        <v>1293</v>
      </c>
      <c r="U254" s="385" t="s">
        <v>1914</v>
      </c>
      <c r="V254" s="385" t="s">
        <v>3321</v>
      </c>
      <c r="W254" s="386" t="s">
        <v>3321</v>
      </c>
      <c r="X254" s="324" t="s">
        <v>3364</v>
      </c>
      <c r="Y254" s="324" t="s">
        <v>3398</v>
      </c>
      <c r="Z254" s="322" t="s">
        <v>3382</v>
      </c>
      <c r="AA254" s="392">
        <v>3906</v>
      </c>
    </row>
    <row r="255" spans="17:27" ht="13.8">
      <c r="Q255" s="385">
        <f t="shared" si="3"/>
        <v>249</v>
      </c>
      <c r="R255" s="386" t="s">
        <v>1915</v>
      </c>
      <c r="S255" s="386" t="s">
        <v>1916</v>
      </c>
      <c r="T255" s="387" t="s">
        <v>1213</v>
      </c>
      <c r="U255" s="385" t="s">
        <v>1917</v>
      </c>
      <c r="V255" s="385" t="s">
        <v>2965</v>
      </c>
      <c r="W255" s="386" t="s">
        <v>2965</v>
      </c>
      <c r="X255" s="324" t="s">
        <v>3363</v>
      </c>
      <c r="Y255" s="324" t="s">
        <v>3398</v>
      </c>
      <c r="Z255" s="322" t="s">
        <v>3379</v>
      </c>
      <c r="AA255" s="392">
        <v>1908</v>
      </c>
    </row>
    <row r="256" spans="17:27" ht="13.8">
      <c r="Q256" s="385">
        <f t="shared" si="3"/>
        <v>250</v>
      </c>
      <c r="R256" s="386" t="s">
        <v>1918</v>
      </c>
      <c r="S256" s="386" t="s">
        <v>1919</v>
      </c>
      <c r="T256" s="387" t="s">
        <v>1227</v>
      </c>
      <c r="U256" s="385" t="s">
        <v>1920</v>
      </c>
      <c r="V256" s="385" t="s">
        <v>2966</v>
      </c>
      <c r="W256" s="386" t="s">
        <v>2966</v>
      </c>
      <c r="X256" s="324" t="s">
        <v>3363</v>
      </c>
      <c r="Y256" s="324" t="s">
        <v>3398</v>
      </c>
      <c r="Z256" s="322" t="s">
        <v>3379</v>
      </c>
      <c r="AA256" s="392">
        <v>1875</v>
      </c>
    </row>
    <row r="257" spans="17:27" ht="13.8">
      <c r="Q257" s="385">
        <f t="shared" si="3"/>
        <v>251</v>
      </c>
      <c r="R257" s="386" t="s">
        <v>1921</v>
      </c>
      <c r="S257" s="386" t="s">
        <v>1922</v>
      </c>
      <c r="T257" s="387" t="s">
        <v>1213</v>
      </c>
      <c r="U257" s="385" t="s">
        <v>1923</v>
      </c>
      <c r="V257" s="385" t="s">
        <v>2967</v>
      </c>
      <c r="W257" s="386" t="s">
        <v>2967</v>
      </c>
      <c r="X257" s="324" t="s">
        <v>3363</v>
      </c>
      <c r="Y257" s="324" t="s">
        <v>3398</v>
      </c>
      <c r="Z257" s="322" t="s">
        <v>3379</v>
      </c>
      <c r="AA257" s="392">
        <v>2945</v>
      </c>
    </row>
    <row r="258" spans="17:27" ht="13.8">
      <c r="Q258" s="385">
        <f t="shared" si="3"/>
        <v>252</v>
      </c>
      <c r="R258" s="386" t="s">
        <v>1924</v>
      </c>
      <c r="S258" s="386" t="s">
        <v>1925</v>
      </c>
      <c r="T258" s="387" t="s">
        <v>1344</v>
      </c>
      <c r="U258" s="385" t="s">
        <v>1926</v>
      </c>
      <c r="V258" s="385" t="s">
        <v>1925</v>
      </c>
      <c r="W258" s="386" t="s">
        <v>3196</v>
      </c>
      <c r="X258" s="324" t="s">
        <v>3362</v>
      </c>
      <c r="Y258" s="324" t="s">
        <v>3399</v>
      </c>
      <c r="Z258" s="322" t="s">
        <v>3381</v>
      </c>
      <c r="AA258" s="392">
        <v>3290</v>
      </c>
    </row>
    <row r="259" spans="17:27" ht="13.8">
      <c r="Q259" s="385">
        <f t="shared" si="3"/>
        <v>253</v>
      </c>
      <c r="R259" s="386" t="s">
        <v>1927</v>
      </c>
      <c r="S259" s="386" t="s">
        <v>1925</v>
      </c>
      <c r="T259" s="387" t="s">
        <v>1539</v>
      </c>
      <c r="U259" s="385" t="s">
        <v>1928</v>
      </c>
      <c r="V259" s="385" t="s">
        <v>1925</v>
      </c>
      <c r="W259" s="386" t="s">
        <v>3196</v>
      </c>
      <c r="X259" s="324" t="s">
        <v>3362</v>
      </c>
      <c r="Y259" s="324" t="s">
        <v>3398</v>
      </c>
      <c r="Z259" s="322" t="s">
        <v>3385</v>
      </c>
      <c r="AA259" s="392">
        <v>33472</v>
      </c>
    </row>
    <row r="260" spans="17:27" ht="13.8">
      <c r="Q260" s="385">
        <f t="shared" si="3"/>
        <v>254</v>
      </c>
      <c r="R260" s="386" t="s">
        <v>1929</v>
      </c>
      <c r="S260" s="386" t="s">
        <v>1930</v>
      </c>
      <c r="T260" s="387" t="s">
        <v>1293</v>
      </c>
      <c r="U260" s="385" t="s">
        <v>1931</v>
      </c>
      <c r="V260" s="385" t="s">
        <v>2968</v>
      </c>
      <c r="W260" s="386" t="s">
        <v>2968</v>
      </c>
      <c r="X260" s="324" t="s">
        <v>3363</v>
      </c>
      <c r="Y260" s="324" t="s">
        <v>3398</v>
      </c>
      <c r="Z260" s="322" t="s">
        <v>3379</v>
      </c>
      <c r="AA260" s="392">
        <v>1358</v>
      </c>
    </row>
    <row r="261" spans="17:27" ht="13.8">
      <c r="Q261" s="385">
        <f t="shared" si="3"/>
        <v>255</v>
      </c>
      <c r="R261" s="386" t="s">
        <v>1932</v>
      </c>
      <c r="S261" s="386" t="s">
        <v>1933</v>
      </c>
      <c r="T261" s="387" t="s">
        <v>1293</v>
      </c>
      <c r="U261" s="385" t="s">
        <v>1934</v>
      </c>
      <c r="V261" s="385" t="s">
        <v>1933</v>
      </c>
      <c r="W261" s="386" t="s">
        <v>2968</v>
      </c>
      <c r="X261" s="324" t="s">
        <v>3362</v>
      </c>
      <c r="Y261" s="324" t="s">
        <v>3399</v>
      </c>
      <c r="Z261" s="322" t="s">
        <v>3384</v>
      </c>
      <c r="AA261" s="392">
        <v>6588</v>
      </c>
    </row>
    <row r="262" spans="17:27" ht="13.8">
      <c r="Q262" s="385">
        <f t="shared" si="3"/>
        <v>256</v>
      </c>
      <c r="R262" s="386" t="s">
        <v>1935</v>
      </c>
      <c r="S262" s="386" t="s">
        <v>1936</v>
      </c>
      <c r="T262" s="387" t="s">
        <v>1176</v>
      </c>
      <c r="U262" s="385" t="s">
        <v>1937</v>
      </c>
      <c r="V262" s="385" t="s">
        <v>2969</v>
      </c>
      <c r="W262" s="386" t="s">
        <v>2969</v>
      </c>
      <c r="X262" s="324" t="s">
        <v>3363</v>
      </c>
      <c r="Y262" s="324" t="s">
        <v>3398</v>
      </c>
      <c r="Z262" s="322" t="s">
        <v>3379</v>
      </c>
      <c r="AA262" s="392">
        <v>8937</v>
      </c>
    </row>
    <row r="263" spans="17:27" ht="13.8">
      <c r="Q263" s="385">
        <f t="shared" si="3"/>
        <v>257</v>
      </c>
      <c r="R263" s="386" t="s">
        <v>1938</v>
      </c>
      <c r="S263" s="386" t="s">
        <v>1939</v>
      </c>
      <c r="T263" s="387" t="s">
        <v>1190</v>
      </c>
      <c r="U263" s="385" t="s">
        <v>1940</v>
      </c>
      <c r="V263" s="385" t="s">
        <v>1939</v>
      </c>
      <c r="W263" s="386" t="s">
        <v>3197</v>
      </c>
      <c r="X263" s="324" t="s">
        <v>3362</v>
      </c>
      <c r="Y263" s="324" t="s">
        <v>3399</v>
      </c>
      <c r="Z263" s="322" t="s">
        <v>3384</v>
      </c>
      <c r="AA263" s="392">
        <v>2942</v>
      </c>
    </row>
    <row r="264" spans="17:27" ht="13.8">
      <c r="Q264" s="385">
        <f t="shared" si="3"/>
        <v>258</v>
      </c>
      <c r="R264" s="386" t="s">
        <v>1941</v>
      </c>
      <c r="S264" s="386" t="s">
        <v>1942</v>
      </c>
      <c r="T264" s="387" t="s">
        <v>1316</v>
      </c>
      <c r="U264" s="385" t="s">
        <v>1943</v>
      </c>
      <c r="V264" s="385" t="s">
        <v>2970</v>
      </c>
      <c r="W264" s="386" t="s">
        <v>2970</v>
      </c>
      <c r="X264" s="324" t="s">
        <v>3363</v>
      </c>
      <c r="Y264" s="324" t="s">
        <v>3398</v>
      </c>
      <c r="Z264" s="322" t="s">
        <v>3380</v>
      </c>
      <c r="AA264" s="392">
        <v>10521</v>
      </c>
    </row>
    <row r="265" spans="17:27" ht="13.8">
      <c r="Q265" s="385">
        <f t="shared" ref="Q265:Q328" si="4">Q264+1</f>
        <v>259</v>
      </c>
      <c r="R265" s="386" t="s">
        <v>1944</v>
      </c>
      <c r="S265" s="386" t="s">
        <v>1945</v>
      </c>
      <c r="T265" s="387" t="s">
        <v>1274</v>
      </c>
      <c r="U265" s="385" t="s">
        <v>1946</v>
      </c>
      <c r="V265" s="385" t="s">
        <v>3322</v>
      </c>
      <c r="W265" s="386" t="s">
        <v>3322</v>
      </c>
      <c r="X265" s="324" t="s">
        <v>3364</v>
      </c>
      <c r="Y265" s="324" t="s">
        <v>3398</v>
      </c>
      <c r="Z265" s="322" t="s">
        <v>3393</v>
      </c>
      <c r="AA265" s="392">
        <v>40499</v>
      </c>
    </row>
    <row r="266" spans="17:27" ht="13.8">
      <c r="Q266" s="385">
        <f t="shared" si="4"/>
        <v>260</v>
      </c>
      <c r="R266" s="386" t="s">
        <v>1947</v>
      </c>
      <c r="S266" s="386" t="s">
        <v>1948</v>
      </c>
      <c r="T266" s="387" t="s">
        <v>1213</v>
      </c>
      <c r="U266" s="385" t="s">
        <v>1949</v>
      </c>
      <c r="V266" s="385" t="s">
        <v>2971</v>
      </c>
      <c r="W266" s="386" t="s">
        <v>2971</v>
      </c>
      <c r="X266" s="324" t="s">
        <v>3363</v>
      </c>
      <c r="Y266" s="324" t="s">
        <v>3398</v>
      </c>
      <c r="Z266" s="322" t="s">
        <v>3379</v>
      </c>
      <c r="AA266" s="392">
        <v>17613</v>
      </c>
    </row>
    <row r="267" spans="17:27" ht="13.8">
      <c r="Q267" s="385">
        <f t="shared" si="4"/>
        <v>261</v>
      </c>
      <c r="R267" s="386" t="s">
        <v>1950</v>
      </c>
      <c r="S267" s="386" t="s">
        <v>1951</v>
      </c>
      <c r="T267" s="387" t="s">
        <v>1172</v>
      </c>
      <c r="U267" s="385" t="s">
        <v>1952</v>
      </c>
      <c r="V267" s="385" t="s">
        <v>3323</v>
      </c>
      <c r="W267" s="386" t="s">
        <v>3323</v>
      </c>
      <c r="X267" s="324" t="s">
        <v>3364</v>
      </c>
      <c r="Y267" s="324" t="s">
        <v>3398</v>
      </c>
      <c r="Z267" s="322" t="s">
        <v>3380</v>
      </c>
      <c r="AA267" s="392">
        <v>7092</v>
      </c>
    </row>
    <row r="268" spans="17:27" ht="13.8">
      <c r="Q268" s="385">
        <f t="shared" si="4"/>
        <v>262</v>
      </c>
      <c r="R268" s="386" t="s">
        <v>1953</v>
      </c>
      <c r="S268" s="386" t="s">
        <v>1954</v>
      </c>
      <c r="T268" s="387" t="s">
        <v>1227</v>
      </c>
      <c r="U268" s="385" t="s">
        <v>1955</v>
      </c>
      <c r="V268" s="385" t="s">
        <v>1954</v>
      </c>
      <c r="W268" s="386" t="s">
        <v>3198</v>
      </c>
      <c r="X268" s="324" t="s">
        <v>3362</v>
      </c>
      <c r="Y268" s="324" t="s">
        <v>3399</v>
      </c>
      <c r="Z268" s="322" t="s">
        <v>3384</v>
      </c>
      <c r="AA268" s="392">
        <v>20065</v>
      </c>
    </row>
    <row r="269" spans="17:27" ht="13.8">
      <c r="Q269" s="385">
        <f t="shared" si="4"/>
        <v>263</v>
      </c>
      <c r="R269" s="386" t="s">
        <v>1956</v>
      </c>
      <c r="S269" s="386" t="s">
        <v>1957</v>
      </c>
      <c r="T269" s="387" t="s">
        <v>1306</v>
      </c>
      <c r="U269" s="385" t="s">
        <v>1958</v>
      </c>
      <c r="V269" s="385" t="s">
        <v>1957</v>
      </c>
      <c r="W269" s="386" t="s">
        <v>3199</v>
      </c>
      <c r="X269" s="324" t="s">
        <v>3362</v>
      </c>
      <c r="Y269" s="324" t="s">
        <v>3399</v>
      </c>
      <c r="Z269" s="322" t="s">
        <v>3384</v>
      </c>
      <c r="AA269" s="392">
        <v>14432</v>
      </c>
    </row>
    <row r="270" spans="17:27" ht="13.8">
      <c r="Q270" s="385">
        <f t="shared" si="4"/>
        <v>264</v>
      </c>
      <c r="R270" s="386" t="s">
        <v>1959</v>
      </c>
      <c r="S270" s="386" t="s">
        <v>1960</v>
      </c>
      <c r="T270" s="387" t="s">
        <v>1176</v>
      </c>
      <c r="U270" s="385" t="s">
        <v>1961</v>
      </c>
      <c r="V270" s="385" t="s">
        <v>2972</v>
      </c>
      <c r="W270" s="386" t="s">
        <v>2972</v>
      </c>
      <c r="X270" s="324" t="s">
        <v>3363</v>
      </c>
      <c r="Y270" s="324" t="s">
        <v>3398</v>
      </c>
      <c r="Z270" s="322" t="s">
        <v>3379</v>
      </c>
      <c r="AA270" s="392">
        <v>10626</v>
      </c>
    </row>
    <row r="271" spans="17:27" ht="13.8">
      <c r="Q271" s="385">
        <f t="shared" si="4"/>
        <v>265</v>
      </c>
      <c r="R271" s="386" t="s">
        <v>1962</v>
      </c>
      <c r="S271" s="386" t="s">
        <v>1963</v>
      </c>
      <c r="T271" s="387" t="s">
        <v>1168</v>
      </c>
      <c r="U271" s="385" t="s">
        <v>1964</v>
      </c>
      <c r="V271" s="385" t="s">
        <v>2973</v>
      </c>
      <c r="W271" s="386" t="s">
        <v>2973</v>
      </c>
      <c r="X271" s="324" t="s">
        <v>3363</v>
      </c>
      <c r="Y271" s="324" t="s">
        <v>3398</v>
      </c>
      <c r="Z271" s="322" t="s">
        <v>3379</v>
      </c>
      <c r="AA271" s="392">
        <v>5950</v>
      </c>
    </row>
    <row r="272" spans="17:27" ht="13.8">
      <c r="Q272" s="385">
        <f t="shared" si="4"/>
        <v>266</v>
      </c>
      <c r="R272" s="386" t="s">
        <v>1965</v>
      </c>
      <c r="S272" s="386" t="s">
        <v>1966</v>
      </c>
      <c r="T272" s="387" t="s">
        <v>1258</v>
      </c>
      <c r="U272" s="385" t="s">
        <v>1967</v>
      </c>
      <c r="V272" s="385" t="s">
        <v>1966</v>
      </c>
      <c r="W272" s="386" t="s">
        <v>3200</v>
      </c>
      <c r="X272" s="324" t="s">
        <v>3362</v>
      </c>
      <c r="Y272" s="324" t="s">
        <v>3398</v>
      </c>
      <c r="Z272" s="322" t="s">
        <v>3385</v>
      </c>
      <c r="AA272" s="392">
        <v>29366</v>
      </c>
    </row>
    <row r="273" spans="17:27" ht="13.8">
      <c r="Q273" s="385">
        <f t="shared" si="4"/>
        <v>267</v>
      </c>
      <c r="R273" s="386" t="s">
        <v>1968</v>
      </c>
      <c r="S273" s="386" t="s">
        <v>1969</v>
      </c>
      <c r="T273" s="387" t="s">
        <v>1168</v>
      </c>
      <c r="U273" s="385" t="s">
        <v>1970</v>
      </c>
      <c r="V273" s="385" t="s">
        <v>1969</v>
      </c>
      <c r="W273" s="386" t="s">
        <v>3366</v>
      </c>
      <c r="X273" s="324" t="s">
        <v>3365</v>
      </c>
      <c r="Y273" s="324" t="s">
        <v>3400</v>
      </c>
      <c r="Z273" s="322" t="s">
        <v>3383</v>
      </c>
      <c r="AA273" s="392">
        <v>194</v>
      </c>
    </row>
    <row r="274" spans="17:27" ht="13.8">
      <c r="Q274" s="385">
        <f t="shared" si="4"/>
        <v>268</v>
      </c>
      <c r="R274" s="386" t="s">
        <v>1971</v>
      </c>
      <c r="S274" s="386" t="s">
        <v>1972</v>
      </c>
      <c r="T274" s="387" t="s">
        <v>1176</v>
      </c>
      <c r="U274" s="385" t="s">
        <v>1973</v>
      </c>
      <c r="V274" s="385" t="s">
        <v>2974</v>
      </c>
      <c r="W274" s="386" t="s">
        <v>2974</v>
      </c>
      <c r="X274" s="324" t="s">
        <v>3363</v>
      </c>
      <c r="Y274" s="324" t="s">
        <v>3398</v>
      </c>
      <c r="Z274" s="322" t="s">
        <v>3385</v>
      </c>
      <c r="AA274" s="392">
        <v>24136</v>
      </c>
    </row>
    <row r="275" spans="17:27" ht="13.8">
      <c r="Q275" s="385">
        <f t="shared" si="4"/>
        <v>269</v>
      </c>
      <c r="R275" s="386" t="s">
        <v>1974</v>
      </c>
      <c r="S275" s="386" t="s">
        <v>1975</v>
      </c>
      <c r="T275" s="387" t="s">
        <v>1433</v>
      </c>
      <c r="U275" s="385" t="s">
        <v>1976</v>
      </c>
      <c r="V275" s="385" t="s">
        <v>1975</v>
      </c>
      <c r="W275" s="386" t="s">
        <v>3201</v>
      </c>
      <c r="X275" s="324" t="s">
        <v>3362</v>
      </c>
      <c r="Y275" s="324" t="s">
        <v>3398</v>
      </c>
      <c r="Z275" s="322" t="s">
        <v>3382</v>
      </c>
      <c r="AA275" s="392">
        <v>6042</v>
      </c>
    </row>
    <row r="276" spans="17:27" ht="13.8">
      <c r="Q276" s="385">
        <f t="shared" si="4"/>
        <v>270</v>
      </c>
      <c r="R276" s="386" t="s">
        <v>1977</v>
      </c>
      <c r="S276" s="386" t="s">
        <v>1978</v>
      </c>
      <c r="T276" s="387" t="s">
        <v>1227</v>
      </c>
      <c r="U276" s="385" t="s">
        <v>1979</v>
      </c>
      <c r="V276" s="385" t="s">
        <v>1978</v>
      </c>
      <c r="W276" s="386" t="s">
        <v>3202</v>
      </c>
      <c r="X276" s="324" t="s">
        <v>3362</v>
      </c>
      <c r="Y276" s="324" t="s">
        <v>3400</v>
      </c>
      <c r="Z276" s="322" t="s">
        <v>3383</v>
      </c>
      <c r="AA276" s="392">
        <v>3051</v>
      </c>
    </row>
    <row r="277" spans="17:27" ht="13.8">
      <c r="Q277" s="385">
        <f t="shared" si="4"/>
        <v>271</v>
      </c>
      <c r="R277" s="386" t="s">
        <v>1980</v>
      </c>
      <c r="S277" s="386" t="s">
        <v>1981</v>
      </c>
      <c r="T277" s="387" t="s">
        <v>1168</v>
      </c>
      <c r="U277" s="385" t="s">
        <v>1982</v>
      </c>
      <c r="V277" s="385" t="s">
        <v>3324</v>
      </c>
      <c r="W277" s="386" t="s">
        <v>3324</v>
      </c>
      <c r="X277" s="324" t="s">
        <v>3364</v>
      </c>
      <c r="Y277" s="324" t="s">
        <v>3398</v>
      </c>
      <c r="Z277" s="322" t="s">
        <v>3387</v>
      </c>
      <c r="AA277" s="392">
        <v>30719</v>
      </c>
    </row>
    <row r="278" spans="17:27" ht="13.8">
      <c r="Q278" s="385">
        <f t="shared" si="4"/>
        <v>272</v>
      </c>
      <c r="R278" s="386" t="s">
        <v>1983</v>
      </c>
      <c r="S278" s="386" t="s">
        <v>1984</v>
      </c>
      <c r="T278" s="387" t="s">
        <v>1316</v>
      </c>
      <c r="U278" s="385" t="s">
        <v>1985</v>
      </c>
      <c r="V278" s="385" t="s">
        <v>1984</v>
      </c>
      <c r="W278" s="386" t="s">
        <v>3203</v>
      </c>
      <c r="X278" s="324" t="s">
        <v>3362</v>
      </c>
      <c r="Y278" s="324" t="s">
        <v>3399</v>
      </c>
      <c r="Z278" s="322" t="s">
        <v>3384</v>
      </c>
      <c r="AA278" s="392">
        <v>8702</v>
      </c>
    </row>
    <row r="279" spans="17:27" ht="13.8">
      <c r="Q279" s="385">
        <f t="shared" si="4"/>
        <v>273</v>
      </c>
      <c r="R279" s="386" t="s">
        <v>1986</v>
      </c>
      <c r="S279" s="388" t="s">
        <v>1987</v>
      </c>
      <c r="T279" s="387" t="s">
        <v>1172</v>
      </c>
      <c r="U279" s="385" t="s">
        <v>1988</v>
      </c>
      <c r="V279" s="385" t="s">
        <v>2975</v>
      </c>
      <c r="W279" s="388" t="s">
        <v>2975</v>
      </c>
      <c r="X279" s="324" t="s">
        <v>3363</v>
      </c>
      <c r="Y279" s="324" t="s">
        <v>3400</v>
      </c>
      <c r="Z279" s="322" t="s">
        <v>3383</v>
      </c>
      <c r="AA279" s="392">
        <v>895</v>
      </c>
    </row>
    <row r="280" spans="17:27" ht="13.8">
      <c r="Q280" s="385">
        <f t="shared" si="4"/>
        <v>274</v>
      </c>
      <c r="R280" s="386" t="s">
        <v>1989</v>
      </c>
      <c r="S280" s="386" t="s">
        <v>1990</v>
      </c>
      <c r="T280" s="387" t="s">
        <v>1190</v>
      </c>
      <c r="U280" s="385" t="s">
        <v>1991</v>
      </c>
      <c r="V280" s="385" t="s">
        <v>1990</v>
      </c>
      <c r="W280" s="386" t="s">
        <v>3204</v>
      </c>
      <c r="X280" s="324" t="s">
        <v>3362</v>
      </c>
      <c r="Y280" s="324" t="s">
        <v>3398</v>
      </c>
      <c r="Z280" s="322" t="s">
        <v>3382</v>
      </c>
      <c r="AA280" s="392">
        <v>8014</v>
      </c>
    </row>
    <row r="281" spans="17:27" ht="13.8">
      <c r="Q281" s="385">
        <f t="shared" si="4"/>
        <v>275</v>
      </c>
      <c r="R281" s="386" t="s">
        <v>1992</v>
      </c>
      <c r="S281" s="386" t="s">
        <v>1993</v>
      </c>
      <c r="T281" s="387" t="s">
        <v>1186</v>
      </c>
      <c r="U281" s="385" t="s">
        <v>1994</v>
      </c>
      <c r="V281" s="385" t="s">
        <v>1993</v>
      </c>
      <c r="W281" s="386" t="s">
        <v>3205</v>
      </c>
      <c r="X281" s="324" t="s">
        <v>3362</v>
      </c>
      <c r="Y281" s="324" t="s">
        <v>3399</v>
      </c>
      <c r="Z281" s="322" t="s">
        <v>3384</v>
      </c>
      <c r="AA281" s="392">
        <v>1770</v>
      </c>
    </row>
    <row r="282" spans="17:27" ht="13.8">
      <c r="Q282" s="385">
        <f t="shared" si="4"/>
        <v>276</v>
      </c>
      <c r="R282" s="386" t="s">
        <v>1995</v>
      </c>
      <c r="S282" s="386" t="s">
        <v>1996</v>
      </c>
      <c r="T282" s="387" t="s">
        <v>1220</v>
      </c>
      <c r="U282" s="385" t="s">
        <v>1997</v>
      </c>
      <c r="V282" s="385" t="s">
        <v>1996</v>
      </c>
      <c r="W282" s="386" t="s">
        <v>3206</v>
      </c>
      <c r="X282" s="324" t="s">
        <v>3362</v>
      </c>
      <c r="Y282" s="324" t="s">
        <v>3398</v>
      </c>
      <c r="Z282" s="322" t="s">
        <v>3382</v>
      </c>
      <c r="AA282" s="392">
        <v>22866</v>
      </c>
    </row>
    <row r="283" spans="17:27" ht="13.8">
      <c r="Q283" s="385">
        <f t="shared" si="4"/>
        <v>277</v>
      </c>
      <c r="R283" s="386" t="s">
        <v>1998</v>
      </c>
      <c r="S283" s="386" t="s">
        <v>1999</v>
      </c>
      <c r="T283" s="387" t="s">
        <v>1237</v>
      </c>
      <c r="U283" s="385" t="s">
        <v>2000</v>
      </c>
      <c r="V283" s="385" t="s">
        <v>1999</v>
      </c>
      <c r="W283" s="386" t="s">
        <v>3207</v>
      </c>
      <c r="X283" s="324" t="s">
        <v>3362</v>
      </c>
      <c r="Y283" s="324" t="s">
        <v>3399</v>
      </c>
      <c r="Z283" s="322" t="s">
        <v>3384</v>
      </c>
      <c r="AA283" s="392">
        <v>12559</v>
      </c>
    </row>
    <row r="284" spans="17:27" ht="13.8">
      <c r="Q284" s="385">
        <f t="shared" si="4"/>
        <v>278</v>
      </c>
      <c r="R284" s="386" t="s">
        <v>2001</v>
      </c>
      <c r="S284" s="386" t="s">
        <v>2002</v>
      </c>
      <c r="T284" s="387" t="s">
        <v>1176</v>
      </c>
      <c r="U284" s="385" t="s">
        <v>2003</v>
      </c>
      <c r="V284" s="385" t="s">
        <v>2002</v>
      </c>
      <c r="W284" s="386" t="s">
        <v>3208</v>
      </c>
      <c r="X284" s="324" t="s">
        <v>3362</v>
      </c>
      <c r="Y284" s="324" t="s">
        <v>3400</v>
      </c>
      <c r="Z284" s="322" t="s">
        <v>3394</v>
      </c>
      <c r="AA284" s="392">
        <v>20554</v>
      </c>
    </row>
    <row r="285" spans="17:27" ht="13.8">
      <c r="Q285" s="385">
        <f t="shared" si="4"/>
        <v>279</v>
      </c>
      <c r="R285" s="386" t="s">
        <v>2004</v>
      </c>
      <c r="S285" s="386" t="s">
        <v>2005</v>
      </c>
      <c r="T285" s="387" t="s">
        <v>1316</v>
      </c>
      <c r="U285" s="385" t="s">
        <v>2006</v>
      </c>
      <c r="V285" s="385" t="s">
        <v>2976</v>
      </c>
      <c r="W285" s="386" t="s">
        <v>2976</v>
      </c>
      <c r="X285" s="324" t="s">
        <v>3363</v>
      </c>
      <c r="Y285" s="324" t="s">
        <v>3398</v>
      </c>
      <c r="Z285" s="322" t="s">
        <v>3379</v>
      </c>
      <c r="AA285" s="392">
        <v>15845</v>
      </c>
    </row>
    <row r="286" spans="17:27" ht="13.8">
      <c r="Q286" s="385">
        <f t="shared" si="4"/>
        <v>280</v>
      </c>
      <c r="R286" s="386" t="s">
        <v>2007</v>
      </c>
      <c r="S286" s="386" t="s">
        <v>2008</v>
      </c>
      <c r="T286" s="387" t="s">
        <v>1213</v>
      </c>
      <c r="U286" s="385" t="s">
        <v>2009</v>
      </c>
      <c r="V286" s="385" t="s">
        <v>2977</v>
      </c>
      <c r="W286" s="386" t="s">
        <v>2977</v>
      </c>
      <c r="X286" s="324" t="s">
        <v>3363</v>
      </c>
      <c r="Y286" s="324" t="s">
        <v>3398</v>
      </c>
      <c r="Z286" s="322" t="s">
        <v>3379</v>
      </c>
      <c r="AA286" s="392">
        <v>4341</v>
      </c>
    </row>
    <row r="287" spans="17:27" ht="13.8">
      <c r="Q287" s="385">
        <f t="shared" si="4"/>
        <v>281</v>
      </c>
      <c r="R287" s="386" t="s">
        <v>2010</v>
      </c>
      <c r="S287" s="386" t="s">
        <v>2011</v>
      </c>
      <c r="T287" s="387" t="s">
        <v>1176</v>
      </c>
      <c r="U287" s="385" t="s">
        <v>2012</v>
      </c>
      <c r="V287" s="385" t="s">
        <v>2011</v>
      </c>
      <c r="W287" s="386" t="s">
        <v>3209</v>
      </c>
      <c r="X287" s="324" t="s">
        <v>3362</v>
      </c>
      <c r="Y287" s="324" t="s">
        <v>3398</v>
      </c>
      <c r="Z287" s="322" t="s">
        <v>3380</v>
      </c>
      <c r="AA287" s="392">
        <v>25890</v>
      </c>
    </row>
    <row r="288" spans="17:27" ht="13.8">
      <c r="Q288" s="385">
        <f t="shared" si="4"/>
        <v>282</v>
      </c>
      <c r="R288" s="386" t="s">
        <v>2013</v>
      </c>
      <c r="S288" s="386" t="s">
        <v>2014</v>
      </c>
      <c r="T288" s="387" t="s">
        <v>1168</v>
      </c>
      <c r="U288" s="385" t="s">
        <v>2015</v>
      </c>
      <c r="V288" s="385" t="s">
        <v>2014</v>
      </c>
      <c r="W288" s="386" t="s">
        <v>3210</v>
      </c>
      <c r="X288" s="324" t="s">
        <v>3362</v>
      </c>
      <c r="Y288" s="324" t="s">
        <v>3399</v>
      </c>
      <c r="Z288" s="322" t="s">
        <v>3384</v>
      </c>
      <c r="AA288" s="392">
        <v>38872</v>
      </c>
    </row>
    <row r="289" spans="17:27" ht="13.8">
      <c r="Q289" s="385">
        <f t="shared" si="4"/>
        <v>283</v>
      </c>
      <c r="R289" s="386" t="s">
        <v>2016</v>
      </c>
      <c r="S289" s="386" t="s">
        <v>2017</v>
      </c>
      <c r="T289" s="387" t="s">
        <v>1168</v>
      </c>
      <c r="U289" s="385" t="s">
        <v>2018</v>
      </c>
      <c r="V289" s="385" t="s">
        <v>2978</v>
      </c>
      <c r="W289" s="386" t="s">
        <v>2978</v>
      </c>
      <c r="X289" s="324" t="s">
        <v>3363</v>
      </c>
      <c r="Y289" s="324" t="s">
        <v>3398</v>
      </c>
      <c r="Z289" s="322" t="s">
        <v>3379</v>
      </c>
      <c r="AA289" s="392">
        <v>5897</v>
      </c>
    </row>
    <row r="290" spans="17:27" ht="13.8">
      <c r="Q290" s="385">
        <f t="shared" si="4"/>
        <v>284</v>
      </c>
      <c r="R290" s="386" t="s">
        <v>2019</v>
      </c>
      <c r="S290" s="386" t="s">
        <v>2020</v>
      </c>
      <c r="T290" s="387" t="s">
        <v>1227</v>
      </c>
      <c r="U290" s="385" t="s">
        <v>2021</v>
      </c>
      <c r="V290" s="385" t="s">
        <v>2020</v>
      </c>
      <c r="W290" s="386" t="s">
        <v>3211</v>
      </c>
      <c r="X290" s="324" t="s">
        <v>3362</v>
      </c>
      <c r="Y290" s="324" t="s">
        <v>3398</v>
      </c>
      <c r="Z290" s="322" t="s">
        <v>3387</v>
      </c>
      <c r="AA290" s="392">
        <v>43070</v>
      </c>
    </row>
    <row r="291" spans="17:27" ht="13.8">
      <c r="Q291" s="385">
        <f t="shared" si="4"/>
        <v>285</v>
      </c>
      <c r="R291" s="386" t="s">
        <v>2022</v>
      </c>
      <c r="S291" s="386" t="s">
        <v>2023</v>
      </c>
      <c r="T291" s="387" t="s">
        <v>1186</v>
      </c>
      <c r="U291" s="385" t="s">
        <v>2024</v>
      </c>
      <c r="V291" s="385" t="s">
        <v>2023</v>
      </c>
      <c r="W291" s="386" t="s">
        <v>3212</v>
      </c>
      <c r="X291" s="324" t="s">
        <v>3362</v>
      </c>
      <c r="Y291" s="324" t="s">
        <v>3399</v>
      </c>
      <c r="Z291" s="322" t="s">
        <v>3381</v>
      </c>
      <c r="AA291" s="392">
        <v>1806</v>
      </c>
    </row>
    <row r="292" spans="17:27" ht="13.8">
      <c r="Q292" s="385">
        <f t="shared" si="4"/>
        <v>286</v>
      </c>
      <c r="R292" s="386" t="s">
        <v>2025</v>
      </c>
      <c r="S292" s="386" t="s">
        <v>2026</v>
      </c>
      <c r="T292" s="387" t="s">
        <v>1237</v>
      </c>
      <c r="U292" s="385" t="s">
        <v>2027</v>
      </c>
      <c r="V292" s="385" t="s">
        <v>2026</v>
      </c>
      <c r="W292" s="386" t="s">
        <v>3213</v>
      </c>
      <c r="X292" s="324" t="s">
        <v>3362</v>
      </c>
      <c r="Y292" s="324" t="s">
        <v>3399</v>
      </c>
      <c r="Z292" s="322" t="s">
        <v>3384</v>
      </c>
      <c r="AA292" s="392">
        <v>8544</v>
      </c>
    </row>
    <row r="293" spans="17:27" ht="13.8">
      <c r="Q293" s="385">
        <f t="shared" si="4"/>
        <v>287</v>
      </c>
      <c r="R293" s="386" t="s">
        <v>2028</v>
      </c>
      <c r="S293" s="386" t="s">
        <v>2026</v>
      </c>
      <c r="T293" s="387" t="s">
        <v>1190</v>
      </c>
      <c r="U293" s="385" t="s">
        <v>2029</v>
      </c>
      <c r="V293" s="385" t="s">
        <v>2026</v>
      </c>
      <c r="W293" s="386" t="s">
        <v>3213</v>
      </c>
      <c r="X293" s="324" t="s">
        <v>3362</v>
      </c>
      <c r="Y293" s="324" t="s">
        <v>3399</v>
      </c>
      <c r="Z293" s="322" t="s">
        <v>3384</v>
      </c>
      <c r="AA293" s="392">
        <v>7725</v>
      </c>
    </row>
    <row r="294" spans="17:27" ht="13.8">
      <c r="Q294" s="385">
        <f t="shared" si="4"/>
        <v>288</v>
      </c>
      <c r="R294" s="386" t="s">
        <v>2030</v>
      </c>
      <c r="S294" s="386" t="s">
        <v>2031</v>
      </c>
      <c r="T294" s="387" t="s">
        <v>1227</v>
      </c>
      <c r="U294" s="385" t="s">
        <v>2032</v>
      </c>
      <c r="V294" s="385" t="s">
        <v>2979</v>
      </c>
      <c r="W294" s="386" t="s">
        <v>2979</v>
      </c>
      <c r="X294" s="324" t="s">
        <v>3363</v>
      </c>
      <c r="Y294" s="324" t="s">
        <v>3398</v>
      </c>
      <c r="Z294" s="322" t="s">
        <v>3379</v>
      </c>
      <c r="AA294" s="392">
        <v>296</v>
      </c>
    </row>
    <row r="295" spans="17:27" ht="13.8">
      <c r="Q295" s="385">
        <f t="shared" si="4"/>
        <v>289</v>
      </c>
      <c r="R295" s="386" t="s">
        <v>2033</v>
      </c>
      <c r="S295" s="386" t="s">
        <v>2034</v>
      </c>
      <c r="T295" s="387" t="s">
        <v>1433</v>
      </c>
      <c r="U295" s="385" t="s">
        <v>2035</v>
      </c>
      <c r="V295" s="385" t="s">
        <v>2034</v>
      </c>
      <c r="W295" s="386" t="s">
        <v>3214</v>
      </c>
      <c r="X295" s="324" t="s">
        <v>3362</v>
      </c>
      <c r="Y295" s="324" t="s">
        <v>3399</v>
      </c>
      <c r="Z295" s="322" t="s">
        <v>3384</v>
      </c>
      <c r="AA295" s="392">
        <v>15217</v>
      </c>
    </row>
    <row r="296" spans="17:27" ht="13.8">
      <c r="Q296" s="385">
        <f t="shared" si="4"/>
        <v>290</v>
      </c>
      <c r="R296" s="386" t="s">
        <v>2036</v>
      </c>
      <c r="S296" s="386" t="s">
        <v>2037</v>
      </c>
      <c r="T296" s="387" t="s">
        <v>1254</v>
      </c>
      <c r="U296" s="385" t="s">
        <v>2038</v>
      </c>
      <c r="V296" s="385" t="s">
        <v>2980</v>
      </c>
      <c r="W296" s="386" t="s">
        <v>2980</v>
      </c>
      <c r="X296" s="324" t="s">
        <v>3363</v>
      </c>
      <c r="Y296" s="324" t="s">
        <v>3398</v>
      </c>
      <c r="Z296" s="322" t="s">
        <v>3379</v>
      </c>
      <c r="AA296" s="392">
        <v>10344</v>
      </c>
    </row>
    <row r="297" spans="17:27" ht="13.8">
      <c r="Q297" s="385">
        <f t="shared" si="4"/>
        <v>291</v>
      </c>
      <c r="R297" s="386" t="s">
        <v>2039</v>
      </c>
      <c r="S297" s="386" t="s">
        <v>2040</v>
      </c>
      <c r="T297" s="387" t="s">
        <v>1237</v>
      </c>
      <c r="U297" s="385" t="s">
        <v>2041</v>
      </c>
      <c r="V297" s="385" t="s">
        <v>2040</v>
      </c>
      <c r="W297" s="386" t="s">
        <v>3215</v>
      </c>
      <c r="X297" s="324" t="s">
        <v>3362</v>
      </c>
      <c r="Y297" s="324" t="s">
        <v>3398</v>
      </c>
      <c r="Z297" s="322" t="s">
        <v>3385</v>
      </c>
      <c r="AA297" s="392">
        <v>19131</v>
      </c>
    </row>
    <row r="298" spans="17:27" ht="13.8">
      <c r="Q298" s="385">
        <f t="shared" si="4"/>
        <v>292</v>
      </c>
      <c r="R298" s="386" t="s">
        <v>2042</v>
      </c>
      <c r="S298" s="386" t="s">
        <v>2043</v>
      </c>
      <c r="T298" s="387" t="s">
        <v>1258</v>
      </c>
      <c r="U298" s="385" t="s">
        <v>2044</v>
      </c>
      <c r="V298" s="385" t="s">
        <v>2043</v>
      </c>
      <c r="W298" s="386" t="s">
        <v>3216</v>
      </c>
      <c r="X298" s="324" t="s">
        <v>3362</v>
      </c>
      <c r="Y298" s="324" t="s">
        <v>3399</v>
      </c>
      <c r="Z298" s="322" t="s">
        <v>3384</v>
      </c>
      <c r="AA298" s="392">
        <v>23867</v>
      </c>
    </row>
    <row r="299" spans="17:27" ht="13.8">
      <c r="Q299" s="385">
        <f t="shared" si="4"/>
        <v>293</v>
      </c>
      <c r="R299" s="386" t="s">
        <v>2045</v>
      </c>
      <c r="S299" s="388" t="s">
        <v>2046</v>
      </c>
      <c r="T299" s="387" t="s">
        <v>1172</v>
      </c>
      <c r="U299" s="385" t="s">
        <v>2047</v>
      </c>
      <c r="V299" s="385" t="s">
        <v>2046</v>
      </c>
      <c r="W299" s="388" t="s">
        <v>2046</v>
      </c>
      <c r="X299" s="324" t="s">
        <v>3364</v>
      </c>
      <c r="Y299" s="324" t="s">
        <v>3400</v>
      </c>
      <c r="Z299" s="322" t="s">
        <v>3383</v>
      </c>
      <c r="AA299" s="392">
        <v>6354</v>
      </c>
    </row>
    <row r="300" spans="17:27" ht="13.8">
      <c r="Q300" s="385">
        <f t="shared" si="4"/>
        <v>294</v>
      </c>
      <c r="R300" s="386" t="s">
        <v>2048</v>
      </c>
      <c r="S300" s="386" t="s">
        <v>2049</v>
      </c>
      <c r="T300" s="387" t="s">
        <v>1168</v>
      </c>
      <c r="U300" s="385" t="s">
        <v>2050</v>
      </c>
      <c r="V300" s="385" t="s">
        <v>2049</v>
      </c>
      <c r="W300" s="386" t="s">
        <v>3217</v>
      </c>
      <c r="X300" s="324" t="s">
        <v>3362</v>
      </c>
      <c r="Y300" s="324" t="s">
        <v>3398</v>
      </c>
      <c r="Z300" s="322" t="s">
        <v>3387</v>
      </c>
      <c r="AA300" s="392">
        <v>40191</v>
      </c>
    </row>
    <row r="301" spans="17:27" ht="13.8">
      <c r="Q301" s="385">
        <f t="shared" si="4"/>
        <v>295</v>
      </c>
      <c r="R301" s="386" t="s">
        <v>2051</v>
      </c>
      <c r="S301" s="386" t="s">
        <v>2052</v>
      </c>
      <c r="T301" s="387" t="s">
        <v>1168</v>
      </c>
      <c r="U301" s="385" t="s">
        <v>2053</v>
      </c>
      <c r="V301" s="385" t="s">
        <v>2981</v>
      </c>
      <c r="W301" s="386" t="s">
        <v>2981</v>
      </c>
      <c r="X301" s="324" t="s">
        <v>3363</v>
      </c>
      <c r="Y301" s="324" t="s">
        <v>3398</v>
      </c>
      <c r="Z301" s="322" t="s">
        <v>3379</v>
      </c>
      <c r="AA301" s="392">
        <v>8810</v>
      </c>
    </row>
    <row r="302" spans="17:27" ht="13.8">
      <c r="Q302" s="385">
        <f t="shared" si="4"/>
        <v>296</v>
      </c>
      <c r="R302" s="386" t="s">
        <v>2054</v>
      </c>
      <c r="S302" s="386" t="s">
        <v>2055</v>
      </c>
      <c r="T302" s="387" t="s">
        <v>1344</v>
      </c>
      <c r="U302" s="385" t="s">
        <v>2056</v>
      </c>
      <c r="V302" s="385" t="s">
        <v>2055</v>
      </c>
      <c r="W302" s="386" t="s">
        <v>3218</v>
      </c>
      <c r="X302" s="324" t="s">
        <v>3362</v>
      </c>
      <c r="Y302" s="324" t="s">
        <v>3399</v>
      </c>
      <c r="Z302" s="322" t="s">
        <v>3381</v>
      </c>
      <c r="AA302" s="392">
        <v>7976</v>
      </c>
    </row>
    <row r="303" spans="17:27" ht="13.8">
      <c r="Q303" s="385">
        <f t="shared" si="4"/>
        <v>297</v>
      </c>
      <c r="R303" s="386" t="s">
        <v>2057</v>
      </c>
      <c r="S303" s="386" t="s">
        <v>2058</v>
      </c>
      <c r="T303" s="387" t="s">
        <v>1176</v>
      </c>
      <c r="U303" s="385" t="s">
        <v>2059</v>
      </c>
      <c r="V303" s="385" t="s">
        <v>2982</v>
      </c>
      <c r="W303" s="386" t="s">
        <v>2982</v>
      </c>
      <c r="X303" s="324" t="s">
        <v>3363</v>
      </c>
      <c r="Y303" s="324" t="s">
        <v>3398</v>
      </c>
      <c r="Z303" s="322" t="s">
        <v>3379</v>
      </c>
      <c r="AA303" s="392">
        <v>9555</v>
      </c>
    </row>
    <row r="304" spans="17:27" ht="13.8">
      <c r="Q304" s="385">
        <f t="shared" si="4"/>
        <v>298</v>
      </c>
      <c r="R304" s="386" t="s">
        <v>2060</v>
      </c>
      <c r="S304" s="386" t="s">
        <v>2061</v>
      </c>
      <c r="T304" s="387" t="s">
        <v>1237</v>
      </c>
      <c r="U304" s="385" t="s">
        <v>2062</v>
      </c>
      <c r="V304" s="385" t="s">
        <v>2983</v>
      </c>
      <c r="W304" s="386" t="s">
        <v>2983</v>
      </c>
      <c r="X304" s="324" t="s">
        <v>3363</v>
      </c>
      <c r="Y304" s="324" t="s">
        <v>3398</v>
      </c>
      <c r="Z304" s="322" t="s">
        <v>3395</v>
      </c>
      <c r="AA304" s="392">
        <v>4146</v>
      </c>
    </row>
    <row r="305" spans="17:27" ht="13.8">
      <c r="Q305" s="385">
        <f t="shared" si="4"/>
        <v>299</v>
      </c>
      <c r="R305" s="386" t="s">
        <v>2063</v>
      </c>
      <c r="S305" s="386" t="s">
        <v>2064</v>
      </c>
      <c r="T305" s="387" t="s">
        <v>1237</v>
      </c>
      <c r="U305" s="385" t="s">
        <v>2065</v>
      </c>
      <c r="V305" s="385" t="s">
        <v>2064</v>
      </c>
      <c r="W305" s="386" t="s">
        <v>3219</v>
      </c>
      <c r="X305" s="324" t="s">
        <v>3362</v>
      </c>
      <c r="Y305" s="324" t="s">
        <v>3398</v>
      </c>
      <c r="Z305" s="322" t="s">
        <v>3385</v>
      </c>
      <c r="AA305" s="392">
        <v>23033</v>
      </c>
    </row>
    <row r="306" spans="17:27" ht="13.8">
      <c r="Q306" s="385">
        <f t="shared" si="4"/>
        <v>300</v>
      </c>
      <c r="R306" s="386" t="s">
        <v>2066</v>
      </c>
      <c r="S306" s="386" t="s">
        <v>2067</v>
      </c>
      <c r="T306" s="387" t="s">
        <v>1316</v>
      </c>
      <c r="U306" s="385" t="s">
        <v>2068</v>
      </c>
      <c r="V306" s="385" t="s">
        <v>2984</v>
      </c>
      <c r="W306" s="386" t="s">
        <v>2984</v>
      </c>
      <c r="X306" s="324" t="s">
        <v>3363</v>
      </c>
      <c r="Y306" s="324" t="s">
        <v>3398</v>
      </c>
      <c r="Z306" s="322" t="s">
        <v>3379</v>
      </c>
      <c r="AA306" s="392">
        <v>4981</v>
      </c>
    </row>
    <row r="307" spans="17:27" ht="13.8">
      <c r="Q307" s="385">
        <f t="shared" si="4"/>
        <v>301</v>
      </c>
      <c r="R307" s="386" t="s">
        <v>2069</v>
      </c>
      <c r="S307" s="386" t="s">
        <v>2070</v>
      </c>
      <c r="T307" s="387" t="s">
        <v>1316</v>
      </c>
      <c r="U307" s="385" t="s">
        <v>2071</v>
      </c>
      <c r="V307" s="385" t="s">
        <v>2070</v>
      </c>
      <c r="W307" s="386" t="s">
        <v>2984</v>
      </c>
      <c r="X307" s="324" t="s">
        <v>3362</v>
      </c>
      <c r="Y307" s="324" t="s">
        <v>3399</v>
      </c>
      <c r="Z307" s="322" t="s">
        <v>3384</v>
      </c>
      <c r="AA307" s="392">
        <v>5869</v>
      </c>
    </row>
    <row r="308" spans="17:27" ht="13.8">
      <c r="Q308" s="385">
        <f t="shared" si="4"/>
        <v>302</v>
      </c>
      <c r="R308" s="386" t="s">
        <v>2072</v>
      </c>
      <c r="S308" s="386" t="s">
        <v>2073</v>
      </c>
      <c r="T308" s="387" t="s">
        <v>1213</v>
      </c>
      <c r="U308" s="385" t="s">
        <v>2074</v>
      </c>
      <c r="V308" s="385" t="s">
        <v>2985</v>
      </c>
      <c r="W308" s="386" t="s">
        <v>2985</v>
      </c>
      <c r="X308" s="324" t="s">
        <v>3363</v>
      </c>
      <c r="Y308" s="324" t="s">
        <v>3398</v>
      </c>
      <c r="Z308" s="322" t="s">
        <v>3379</v>
      </c>
      <c r="AA308" s="392">
        <v>3821</v>
      </c>
    </row>
    <row r="309" spans="17:27" ht="13.8">
      <c r="Q309" s="385">
        <f t="shared" si="4"/>
        <v>303</v>
      </c>
      <c r="R309" s="386" t="s">
        <v>2075</v>
      </c>
      <c r="S309" s="386" t="s">
        <v>2076</v>
      </c>
      <c r="T309" s="387" t="s">
        <v>1399</v>
      </c>
      <c r="U309" s="385" t="s">
        <v>2077</v>
      </c>
      <c r="V309" s="385" t="s">
        <v>2986</v>
      </c>
      <c r="W309" s="386" t="s">
        <v>2986</v>
      </c>
      <c r="X309" s="324" t="s">
        <v>3363</v>
      </c>
      <c r="Y309" s="324" t="s">
        <v>3398</v>
      </c>
      <c r="Z309" s="322" t="s">
        <v>3379</v>
      </c>
      <c r="AA309" s="392">
        <v>13574</v>
      </c>
    </row>
    <row r="310" spans="17:27" ht="13.8">
      <c r="Q310" s="385">
        <f t="shared" si="4"/>
        <v>304</v>
      </c>
      <c r="R310" s="386" t="s">
        <v>2078</v>
      </c>
      <c r="S310" s="386" t="s">
        <v>2079</v>
      </c>
      <c r="T310" s="387" t="s">
        <v>1220</v>
      </c>
      <c r="U310" s="385" t="s">
        <v>2080</v>
      </c>
      <c r="V310" s="385" t="s">
        <v>2079</v>
      </c>
      <c r="W310" s="386" t="s">
        <v>3220</v>
      </c>
      <c r="X310" s="324" t="s">
        <v>3362</v>
      </c>
      <c r="Y310" s="324" t="s">
        <v>3399</v>
      </c>
      <c r="Z310" s="322" t="s">
        <v>3381</v>
      </c>
      <c r="AA310" s="392">
        <v>18911</v>
      </c>
    </row>
    <row r="311" spans="17:27" ht="13.8">
      <c r="Q311" s="385">
        <f t="shared" si="4"/>
        <v>305</v>
      </c>
      <c r="R311" s="386" t="s">
        <v>2081</v>
      </c>
      <c r="S311" s="386" t="s">
        <v>2082</v>
      </c>
      <c r="T311" s="387" t="s">
        <v>1399</v>
      </c>
      <c r="U311" s="385" t="s">
        <v>2083</v>
      </c>
      <c r="V311" s="385" t="s">
        <v>1399</v>
      </c>
      <c r="W311" s="386" t="s">
        <v>1399</v>
      </c>
      <c r="X311" s="324" t="s">
        <v>3363</v>
      </c>
      <c r="Y311" s="324" t="s">
        <v>3398</v>
      </c>
      <c r="Z311" s="322" t="s">
        <v>3379</v>
      </c>
      <c r="AA311" s="392">
        <v>13635</v>
      </c>
    </row>
    <row r="312" spans="17:27" ht="13.8">
      <c r="Q312" s="385">
        <f t="shared" si="4"/>
        <v>306</v>
      </c>
      <c r="R312" s="386" t="s">
        <v>2084</v>
      </c>
      <c r="S312" s="386" t="s">
        <v>2085</v>
      </c>
      <c r="T312" s="387" t="s">
        <v>1168</v>
      </c>
      <c r="U312" s="385" t="s">
        <v>2086</v>
      </c>
      <c r="V312" s="385" t="s">
        <v>2085</v>
      </c>
      <c r="W312" s="386" t="s">
        <v>3221</v>
      </c>
      <c r="X312" s="324" t="s">
        <v>3362</v>
      </c>
      <c r="Y312" s="324" t="s">
        <v>3398</v>
      </c>
      <c r="Z312" s="322" t="s">
        <v>3385</v>
      </c>
      <c r="AA312" s="392">
        <v>66522</v>
      </c>
    </row>
    <row r="313" spans="17:27" ht="13.8">
      <c r="Q313" s="385">
        <f t="shared" si="4"/>
        <v>307</v>
      </c>
      <c r="R313" s="386" t="s">
        <v>2087</v>
      </c>
      <c r="S313" s="386" t="s">
        <v>2088</v>
      </c>
      <c r="T313" s="387" t="s">
        <v>1176</v>
      </c>
      <c r="U313" s="385" t="s">
        <v>2089</v>
      </c>
      <c r="V313" s="385" t="s">
        <v>2987</v>
      </c>
      <c r="W313" s="386" t="s">
        <v>2987</v>
      </c>
      <c r="X313" s="324" t="s">
        <v>3363</v>
      </c>
      <c r="Y313" s="324" t="s">
        <v>3398</v>
      </c>
      <c r="Z313" s="322" t="s">
        <v>3379</v>
      </c>
      <c r="AA313" s="392">
        <v>7128</v>
      </c>
    </row>
    <row r="314" spans="17:27" ht="13.8">
      <c r="Q314" s="385">
        <f t="shared" si="4"/>
        <v>308</v>
      </c>
      <c r="R314" s="386" t="s">
        <v>2090</v>
      </c>
      <c r="S314" s="386" t="s">
        <v>2091</v>
      </c>
      <c r="T314" s="387" t="s">
        <v>1293</v>
      </c>
      <c r="U314" s="385" t="s">
        <v>2092</v>
      </c>
      <c r="V314" s="385" t="s">
        <v>2988</v>
      </c>
      <c r="W314" s="386" t="s">
        <v>2988</v>
      </c>
      <c r="X314" s="324" t="s">
        <v>3363</v>
      </c>
      <c r="Y314" s="324" t="s">
        <v>3398</v>
      </c>
      <c r="Z314" s="322" t="s">
        <v>3379</v>
      </c>
      <c r="AA314" s="392">
        <v>1233</v>
      </c>
    </row>
    <row r="315" spans="17:27" ht="13.8">
      <c r="Q315" s="385">
        <f t="shared" si="4"/>
        <v>309</v>
      </c>
      <c r="R315" s="386" t="s">
        <v>2093</v>
      </c>
      <c r="S315" s="386" t="s">
        <v>2094</v>
      </c>
      <c r="T315" s="387" t="s">
        <v>1258</v>
      </c>
      <c r="U315" s="385" t="s">
        <v>2095</v>
      </c>
      <c r="V315" s="385" t="s">
        <v>2094</v>
      </c>
      <c r="W315" s="386" t="s">
        <v>3222</v>
      </c>
      <c r="X315" s="324" t="s">
        <v>3362</v>
      </c>
      <c r="Y315" s="324" t="s">
        <v>3399</v>
      </c>
      <c r="Z315" s="322" t="s">
        <v>3384</v>
      </c>
      <c r="AA315" s="392">
        <v>20149</v>
      </c>
    </row>
    <row r="316" spans="17:27" ht="13.8">
      <c r="Q316" s="385">
        <f t="shared" si="4"/>
        <v>310</v>
      </c>
      <c r="R316" s="386" t="s">
        <v>2096</v>
      </c>
      <c r="S316" s="386" t="s">
        <v>2097</v>
      </c>
      <c r="T316" s="387" t="s">
        <v>1254</v>
      </c>
      <c r="U316" s="385" t="s">
        <v>2098</v>
      </c>
      <c r="V316" s="385" t="s">
        <v>2989</v>
      </c>
      <c r="W316" s="386" t="s">
        <v>2989</v>
      </c>
      <c r="X316" s="324" t="s">
        <v>3363</v>
      </c>
      <c r="Y316" s="324" t="s">
        <v>3398</v>
      </c>
      <c r="Z316" s="322" t="s">
        <v>3379</v>
      </c>
      <c r="AA316" s="392">
        <v>418</v>
      </c>
    </row>
    <row r="317" spans="17:27" ht="13.8">
      <c r="Q317" s="385">
        <f t="shared" si="4"/>
        <v>311</v>
      </c>
      <c r="R317" s="386" t="s">
        <v>2099</v>
      </c>
      <c r="S317" s="386" t="s">
        <v>2100</v>
      </c>
      <c r="T317" s="387" t="s">
        <v>1168</v>
      </c>
      <c r="U317" s="385" t="s">
        <v>2101</v>
      </c>
      <c r="V317" s="385" t="s">
        <v>2100</v>
      </c>
      <c r="W317" s="386" t="s">
        <v>2989</v>
      </c>
      <c r="X317" s="324" t="s">
        <v>3362</v>
      </c>
      <c r="Y317" s="324" t="s">
        <v>3399</v>
      </c>
      <c r="Z317" s="322" t="s">
        <v>3384</v>
      </c>
      <c r="AA317" s="392">
        <v>10566</v>
      </c>
    </row>
    <row r="318" spans="17:27" ht="13.8">
      <c r="Q318" s="385">
        <f t="shared" si="4"/>
        <v>312</v>
      </c>
      <c r="R318" s="386" t="s">
        <v>2102</v>
      </c>
      <c r="S318" s="386" t="s">
        <v>2103</v>
      </c>
      <c r="T318" s="387" t="s">
        <v>1399</v>
      </c>
      <c r="U318" s="385" t="s">
        <v>2104</v>
      </c>
      <c r="V318" s="385" t="s">
        <v>2990</v>
      </c>
      <c r="W318" s="386" t="s">
        <v>2990</v>
      </c>
      <c r="X318" s="324" t="s">
        <v>3363</v>
      </c>
      <c r="Y318" s="324" t="s">
        <v>3398</v>
      </c>
      <c r="Z318" s="322" t="s">
        <v>3379</v>
      </c>
      <c r="AA318" s="392">
        <v>6893</v>
      </c>
    </row>
    <row r="319" spans="17:27" ht="13.8">
      <c r="Q319" s="385">
        <f t="shared" si="4"/>
        <v>313</v>
      </c>
      <c r="R319" s="386" t="s">
        <v>2105</v>
      </c>
      <c r="S319" s="386" t="s">
        <v>2106</v>
      </c>
      <c r="T319" s="387" t="s">
        <v>1344</v>
      </c>
      <c r="U319" s="385" t="s">
        <v>2107</v>
      </c>
      <c r="V319" s="385" t="s">
        <v>3325</v>
      </c>
      <c r="W319" s="386" t="s">
        <v>3325</v>
      </c>
      <c r="X319" s="324" t="s">
        <v>3364</v>
      </c>
      <c r="Y319" s="324" t="s">
        <v>3400</v>
      </c>
      <c r="Z319" s="322" t="s">
        <v>3394</v>
      </c>
      <c r="AA319" s="392">
        <v>28400</v>
      </c>
    </row>
    <row r="320" spans="17:27" ht="13.8">
      <c r="Q320" s="385">
        <f t="shared" si="4"/>
        <v>314</v>
      </c>
      <c r="R320" s="386" t="s">
        <v>2108</v>
      </c>
      <c r="S320" s="386" t="s">
        <v>2109</v>
      </c>
      <c r="T320" s="387" t="s">
        <v>1316</v>
      </c>
      <c r="U320" s="385" t="s">
        <v>2110</v>
      </c>
      <c r="V320" s="385" t="s">
        <v>2109</v>
      </c>
      <c r="W320" s="386" t="s">
        <v>3223</v>
      </c>
      <c r="X320" s="324" t="s">
        <v>3362</v>
      </c>
      <c r="Y320" s="324" t="s">
        <v>3398</v>
      </c>
      <c r="Z320" s="322" t="s">
        <v>3387</v>
      </c>
      <c r="AA320" s="392">
        <v>3651</v>
      </c>
    </row>
    <row r="321" spans="17:27" ht="13.8">
      <c r="Q321" s="385">
        <f t="shared" si="4"/>
        <v>315</v>
      </c>
      <c r="R321" s="386" t="s">
        <v>2111</v>
      </c>
      <c r="S321" s="386" t="s">
        <v>2112</v>
      </c>
      <c r="T321" s="387" t="s">
        <v>1168</v>
      </c>
      <c r="U321" s="385" t="s">
        <v>2113</v>
      </c>
      <c r="V321" s="385" t="s">
        <v>2991</v>
      </c>
      <c r="W321" s="386" t="s">
        <v>2991</v>
      </c>
      <c r="X321" s="324" t="s">
        <v>3363</v>
      </c>
      <c r="Y321" s="324" t="s">
        <v>3400</v>
      </c>
      <c r="Z321" s="322" t="s">
        <v>3383</v>
      </c>
      <c r="AA321" s="392">
        <v>3279</v>
      </c>
    </row>
    <row r="322" spans="17:27" ht="13.8">
      <c r="Q322" s="385">
        <f t="shared" si="4"/>
        <v>316</v>
      </c>
      <c r="R322" s="386" t="s">
        <v>2114</v>
      </c>
      <c r="S322" s="386" t="s">
        <v>2115</v>
      </c>
      <c r="T322" s="387" t="s">
        <v>1433</v>
      </c>
      <c r="U322" s="385" t="s">
        <v>2116</v>
      </c>
      <c r="V322" s="385" t="s">
        <v>2115</v>
      </c>
      <c r="W322" s="386" t="s">
        <v>3224</v>
      </c>
      <c r="X322" s="324" t="s">
        <v>3362</v>
      </c>
      <c r="Y322" s="324" t="s">
        <v>3398</v>
      </c>
      <c r="Z322" s="322" t="s">
        <v>3380</v>
      </c>
      <c r="AA322" s="392">
        <v>36129</v>
      </c>
    </row>
    <row r="323" spans="17:27" ht="13.8">
      <c r="Q323" s="385">
        <f t="shared" si="4"/>
        <v>317</v>
      </c>
      <c r="R323" s="386" t="s">
        <v>2117</v>
      </c>
      <c r="S323" s="386" t="s">
        <v>2115</v>
      </c>
      <c r="T323" s="387" t="s">
        <v>1399</v>
      </c>
      <c r="U323" s="385" t="s">
        <v>2118</v>
      </c>
      <c r="V323" s="385" t="s">
        <v>2115</v>
      </c>
      <c r="W323" s="386" t="s">
        <v>3224</v>
      </c>
      <c r="X323" s="324" t="s">
        <v>3362</v>
      </c>
      <c r="Y323" s="324" t="s">
        <v>3398</v>
      </c>
      <c r="Z323" s="322" t="s">
        <v>3387</v>
      </c>
      <c r="AA323" s="392">
        <v>39132</v>
      </c>
    </row>
    <row r="324" spans="17:27" ht="13.8">
      <c r="Q324" s="385">
        <f t="shared" si="4"/>
        <v>318</v>
      </c>
      <c r="R324" s="386" t="s">
        <v>2119</v>
      </c>
      <c r="S324" s="386" t="s">
        <v>2120</v>
      </c>
      <c r="T324" s="387" t="s">
        <v>1197</v>
      </c>
      <c r="U324" s="385" t="s">
        <v>2121</v>
      </c>
      <c r="V324" s="385" t="s">
        <v>2120</v>
      </c>
      <c r="W324" s="386" t="s">
        <v>3225</v>
      </c>
      <c r="X324" s="324" t="s">
        <v>3362</v>
      </c>
      <c r="Y324" s="324" t="s">
        <v>3399</v>
      </c>
      <c r="Z324" s="322" t="s">
        <v>3384</v>
      </c>
      <c r="AA324" s="392">
        <v>3847</v>
      </c>
    </row>
    <row r="325" spans="17:27" ht="13.8">
      <c r="Q325" s="385">
        <f t="shared" si="4"/>
        <v>319</v>
      </c>
      <c r="R325" s="386" t="s">
        <v>2122</v>
      </c>
      <c r="S325" s="386" t="s">
        <v>2123</v>
      </c>
      <c r="T325" s="387" t="s">
        <v>1258</v>
      </c>
      <c r="U325" s="385" t="s">
        <v>2124</v>
      </c>
      <c r="V325" s="385" t="s">
        <v>2123</v>
      </c>
      <c r="W325" s="386" t="s">
        <v>3226</v>
      </c>
      <c r="X325" s="324" t="s">
        <v>3362</v>
      </c>
      <c r="Y325" s="324" t="s">
        <v>3398</v>
      </c>
      <c r="Z325" s="322" t="s">
        <v>3379</v>
      </c>
      <c r="AA325" s="392">
        <v>37669</v>
      </c>
    </row>
    <row r="326" spans="17:27" ht="13.8">
      <c r="Q326" s="385">
        <f t="shared" si="4"/>
        <v>320</v>
      </c>
      <c r="R326" s="386" t="s">
        <v>2125</v>
      </c>
      <c r="S326" s="386" t="s">
        <v>2126</v>
      </c>
      <c r="T326" s="387" t="s">
        <v>1254</v>
      </c>
      <c r="U326" s="385" t="s">
        <v>2127</v>
      </c>
      <c r="V326" s="385" t="s">
        <v>2126</v>
      </c>
      <c r="W326" s="386" t="s">
        <v>3227</v>
      </c>
      <c r="X326" s="324" t="s">
        <v>3362</v>
      </c>
      <c r="Y326" s="324" t="s">
        <v>3399</v>
      </c>
      <c r="Z326" s="322" t="s">
        <v>3384</v>
      </c>
      <c r="AA326" s="392">
        <v>22254</v>
      </c>
    </row>
    <row r="327" spans="17:27" ht="13.8">
      <c r="Q327" s="385">
        <f t="shared" si="4"/>
        <v>321</v>
      </c>
      <c r="R327" s="386" t="s">
        <v>2128</v>
      </c>
      <c r="S327" s="386" t="s">
        <v>2129</v>
      </c>
      <c r="T327" s="387" t="s">
        <v>1176</v>
      </c>
      <c r="U327" s="385" t="s">
        <v>2130</v>
      </c>
      <c r="V327" s="385" t="s">
        <v>2992</v>
      </c>
      <c r="W327" s="386" t="s">
        <v>2992</v>
      </c>
      <c r="X327" s="324" t="s">
        <v>3363</v>
      </c>
      <c r="Y327" s="324" t="s">
        <v>3398</v>
      </c>
      <c r="Z327" s="322" t="s">
        <v>3379</v>
      </c>
      <c r="AA327" s="392">
        <v>7844</v>
      </c>
    </row>
    <row r="328" spans="17:27" ht="13.8">
      <c r="Q328" s="385">
        <f t="shared" si="4"/>
        <v>322</v>
      </c>
      <c r="R328" s="386" t="s">
        <v>2131</v>
      </c>
      <c r="S328" s="386" t="s">
        <v>2132</v>
      </c>
      <c r="T328" s="387" t="s">
        <v>1316</v>
      </c>
      <c r="U328" s="385" t="s">
        <v>2133</v>
      </c>
      <c r="V328" s="385" t="s">
        <v>2132</v>
      </c>
      <c r="W328" s="386" t="s">
        <v>3228</v>
      </c>
      <c r="X328" s="324" t="s">
        <v>3362</v>
      </c>
      <c r="Y328" s="324" t="s">
        <v>3399</v>
      </c>
      <c r="Z328" s="322" t="s">
        <v>3384</v>
      </c>
      <c r="AA328" s="392">
        <v>21528</v>
      </c>
    </row>
    <row r="329" spans="17:27" ht="13.8">
      <c r="Q329" s="385">
        <f t="shared" ref="Q329:Q392" si="5">Q328+1</f>
        <v>323</v>
      </c>
      <c r="R329" s="386" t="s">
        <v>2134</v>
      </c>
      <c r="S329" s="386" t="s">
        <v>2135</v>
      </c>
      <c r="T329" s="387" t="s">
        <v>1176</v>
      </c>
      <c r="U329" s="385" t="s">
        <v>2136</v>
      </c>
      <c r="V329" s="385" t="s">
        <v>2993</v>
      </c>
      <c r="W329" s="386" t="s">
        <v>2993</v>
      </c>
      <c r="X329" s="324" t="s">
        <v>3363</v>
      </c>
      <c r="Y329" s="324" t="s">
        <v>3398</v>
      </c>
      <c r="Z329" s="322" t="s">
        <v>3379</v>
      </c>
      <c r="AA329" s="392">
        <v>2708</v>
      </c>
    </row>
    <row r="330" spans="17:27" ht="13.8">
      <c r="Q330" s="385">
        <f t="shared" si="5"/>
        <v>324</v>
      </c>
      <c r="R330" s="386" t="s">
        <v>2137</v>
      </c>
      <c r="S330" s="386" t="s">
        <v>2138</v>
      </c>
      <c r="T330" s="387" t="s">
        <v>1237</v>
      </c>
      <c r="U330" s="385" t="s">
        <v>2139</v>
      </c>
      <c r="V330" s="385" t="s">
        <v>2138</v>
      </c>
      <c r="W330" s="386" t="s">
        <v>3229</v>
      </c>
      <c r="X330" s="324" t="s">
        <v>3362</v>
      </c>
      <c r="Y330" s="324" t="s">
        <v>3398</v>
      </c>
      <c r="Z330" s="322" t="s">
        <v>3385</v>
      </c>
      <c r="AA330" s="392">
        <v>20726</v>
      </c>
    </row>
    <row r="331" spans="17:27" ht="13.8">
      <c r="Q331" s="385">
        <f t="shared" si="5"/>
        <v>325</v>
      </c>
      <c r="R331" s="386" t="s">
        <v>2140</v>
      </c>
      <c r="S331" s="386" t="s">
        <v>2141</v>
      </c>
      <c r="T331" s="387" t="s">
        <v>1316</v>
      </c>
      <c r="U331" s="385" t="s">
        <v>2142</v>
      </c>
      <c r="V331" s="385" t="s">
        <v>2994</v>
      </c>
      <c r="W331" s="386" t="s">
        <v>2994</v>
      </c>
      <c r="X331" s="324" t="s">
        <v>3363</v>
      </c>
      <c r="Y331" s="324" t="s">
        <v>3398</v>
      </c>
      <c r="Z331" s="322" t="s">
        <v>3379</v>
      </c>
      <c r="AA331" s="392">
        <v>5532</v>
      </c>
    </row>
    <row r="332" spans="17:27" ht="13.8">
      <c r="Q332" s="385">
        <f t="shared" si="5"/>
        <v>326</v>
      </c>
      <c r="R332" s="386" t="s">
        <v>2143</v>
      </c>
      <c r="S332" s="386" t="s">
        <v>2144</v>
      </c>
      <c r="T332" s="387" t="s">
        <v>1316</v>
      </c>
      <c r="U332" s="385" t="s">
        <v>2145</v>
      </c>
      <c r="V332" s="385" t="s">
        <v>2144</v>
      </c>
      <c r="W332" s="386" t="s">
        <v>1316</v>
      </c>
      <c r="X332" s="324" t="s">
        <v>3362</v>
      </c>
      <c r="Y332" s="324" t="s">
        <v>3399</v>
      </c>
      <c r="Z332" s="322" t="s">
        <v>3384</v>
      </c>
      <c r="AA332" s="392">
        <v>22306</v>
      </c>
    </row>
    <row r="333" spans="17:27" ht="13.8">
      <c r="Q333" s="385">
        <f t="shared" si="5"/>
        <v>327</v>
      </c>
      <c r="R333" s="386" t="s">
        <v>2146</v>
      </c>
      <c r="S333" s="386" t="s">
        <v>2147</v>
      </c>
      <c r="T333" s="387" t="s">
        <v>1316</v>
      </c>
      <c r="U333" s="385" t="s">
        <v>2148</v>
      </c>
      <c r="V333" s="385" t="s">
        <v>3351</v>
      </c>
      <c r="W333" s="386" t="s">
        <v>3351</v>
      </c>
      <c r="X333" s="324" t="s">
        <v>2856</v>
      </c>
      <c r="Y333" s="324" t="s">
        <v>3398</v>
      </c>
      <c r="Z333" s="322" t="s">
        <v>3380</v>
      </c>
      <c r="AA333" s="392">
        <v>18411</v>
      </c>
    </row>
    <row r="334" spans="17:27" ht="13.8">
      <c r="Q334" s="385">
        <f t="shared" si="5"/>
        <v>328</v>
      </c>
      <c r="R334" s="386" t="s">
        <v>2149</v>
      </c>
      <c r="S334" s="386" t="s">
        <v>2150</v>
      </c>
      <c r="T334" s="387" t="s">
        <v>1316</v>
      </c>
      <c r="U334" s="385" t="s">
        <v>2151</v>
      </c>
      <c r="V334" s="385" t="s">
        <v>2995</v>
      </c>
      <c r="W334" s="386" t="s">
        <v>2995</v>
      </c>
      <c r="X334" s="324" t="s">
        <v>3363</v>
      </c>
      <c r="Y334" s="324" t="s">
        <v>3398</v>
      </c>
      <c r="Z334" s="322" t="s">
        <v>3388</v>
      </c>
      <c r="AA334" s="392">
        <v>5050</v>
      </c>
    </row>
    <row r="335" spans="17:27" ht="13.8">
      <c r="Q335" s="385">
        <f t="shared" si="5"/>
        <v>329</v>
      </c>
      <c r="R335" s="386" t="s">
        <v>2152</v>
      </c>
      <c r="S335" s="388" t="s">
        <v>2153</v>
      </c>
      <c r="T335" s="387" t="s">
        <v>1213</v>
      </c>
      <c r="U335" s="385" t="s">
        <v>2154</v>
      </c>
      <c r="V335" s="385" t="s">
        <v>2996</v>
      </c>
      <c r="W335" s="388" t="s">
        <v>2996</v>
      </c>
      <c r="X335" s="324" t="s">
        <v>3363</v>
      </c>
      <c r="Y335" s="324" t="s">
        <v>3400</v>
      </c>
      <c r="Z335" s="322" t="s">
        <v>3383</v>
      </c>
      <c r="AA335" s="392">
        <v>4676</v>
      </c>
    </row>
    <row r="336" spans="17:27" ht="13.8">
      <c r="Q336" s="385">
        <f t="shared" si="5"/>
        <v>330</v>
      </c>
      <c r="R336" s="386" t="s">
        <v>2155</v>
      </c>
      <c r="S336" s="386" t="s">
        <v>2156</v>
      </c>
      <c r="T336" s="387" t="s">
        <v>1237</v>
      </c>
      <c r="U336" s="385" t="s">
        <v>2157</v>
      </c>
      <c r="V336" s="385" t="s">
        <v>2156</v>
      </c>
      <c r="W336" s="386" t="s">
        <v>3230</v>
      </c>
      <c r="X336" s="324" t="s">
        <v>3362</v>
      </c>
      <c r="Y336" s="324" t="s">
        <v>3398</v>
      </c>
      <c r="Z336" s="322" t="s">
        <v>3385</v>
      </c>
      <c r="AA336" s="392">
        <v>9536</v>
      </c>
    </row>
    <row r="337" spans="17:27" ht="13.8">
      <c r="Q337" s="385">
        <f t="shared" si="5"/>
        <v>331</v>
      </c>
      <c r="R337" s="386" t="s">
        <v>2158</v>
      </c>
      <c r="S337" s="386" t="s">
        <v>2159</v>
      </c>
      <c r="T337" s="387" t="s">
        <v>1237</v>
      </c>
      <c r="U337" s="385" t="s">
        <v>2160</v>
      </c>
      <c r="V337" s="385" t="s">
        <v>2159</v>
      </c>
      <c r="W337" s="386" t="s">
        <v>3231</v>
      </c>
      <c r="X337" s="324" t="s">
        <v>3362</v>
      </c>
      <c r="Y337" s="324" t="s">
        <v>3398</v>
      </c>
      <c r="Z337" s="322" t="s">
        <v>3385</v>
      </c>
      <c r="AA337" s="392">
        <v>41864</v>
      </c>
    </row>
    <row r="338" spans="17:27" ht="13.8">
      <c r="Q338" s="385">
        <f t="shared" si="5"/>
        <v>332</v>
      </c>
      <c r="R338" s="386" t="s">
        <v>2161</v>
      </c>
      <c r="S338" s="386" t="s">
        <v>2162</v>
      </c>
      <c r="T338" s="387" t="s">
        <v>1316</v>
      </c>
      <c r="U338" s="385" t="s">
        <v>2163</v>
      </c>
      <c r="V338" s="385" t="s">
        <v>2162</v>
      </c>
      <c r="W338" s="386" t="s">
        <v>3232</v>
      </c>
      <c r="X338" s="324" t="s">
        <v>3362</v>
      </c>
      <c r="Y338" s="324" t="s">
        <v>3398</v>
      </c>
      <c r="Z338" s="322" t="s">
        <v>3379</v>
      </c>
      <c r="AA338" s="392">
        <v>28117</v>
      </c>
    </row>
    <row r="339" spans="17:27" ht="13.8">
      <c r="Q339" s="385">
        <f t="shared" si="5"/>
        <v>333</v>
      </c>
      <c r="R339" s="386" t="s">
        <v>2164</v>
      </c>
      <c r="S339" s="386" t="s">
        <v>2165</v>
      </c>
      <c r="T339" s="387" t="s">
        <v>1316</v>
      </c>
      <c r="U339" s="385" t="s">
        <v>2166</v>
      </c>
      <c r="V339" s="385" t="s">
        <v>2997</v>
      </c>
      <c r="W339" s="386" t="s">
        <v>2997</v>
      </c>
      <c r="X339" s="324" t="s">
        <v>3363</v>
      </c>
      <c r="Y339" s="324" t="s">
        <v>3398</v>
      </c>
      <c r="Z339" s="322" t="s">
        <v>3380</v>
      </c>
      <c r="AA339" s="392">
        <v>4160</v>
      </c>
    </row>
    <row r="340" spans="17:27" ht="13.8">
      <c r="Q340" s="385">
        <f t="shared" si="5"/>
        <v>334</v>
      </c>
      <c r="R340" s="386" t="s">
        <v>2167</v>
      </c>
      <c r="S340" s="386" t="s">
        <v>2168</v>
      </c>
      <c r="T340" s="387" t="s">
        <v>1274</v>
      </c>
      <c r="U340" s="385" t="s">
        <v>2169</v>
      </c>
      <c r="V340" s="385" t="s">
        <v>2998</v>
      </c>
      <c r="W340" s="386" t="s">
        <v>2998</v>
      </c>
      <c r="X340" s="324" t="s">
        <v>3363</v>
      </c>
      <c r="Y340" s="324" t="s">
        <v>3398</v>
      </c>
      <c r="Z340" s="322" t="s">
        <v>3379</v>
      </c>
      <c r="AA340" s="392">
        <v>6685</v>
      </c>
    </row>
    <row r="341" spans="17:27" ht="13.8">
      <c r="Q341" s="385">
        <f t="shared" si="5"/>
        <v>335</v>
      </c>
      <c r="R341" s="386" t="s">
        <v>2170</v>
      </c>
      <c r="S341" s="388" t="s">
        <v>2171</v>
      </c>
      <c r="T341" s="387" t="s">
        <v>1172</v>
      </c>
      <c r="U341" s="385" t="s">
        <v>2172</v>
      </c>
      <c r="V341" s="385" t="s">
        <v>2171</v>
      </c>
      <c r="W341" s="388" t="s">
        <v>3233</v>
      </c>
      <c r="X341" s="324" t="s">
        <v>3362</v>
      </c>
      <c r="Y341" s="324" t="s">
        <v>3399</v>
      </c>
      <c r="Z341" s="322" t="s">
        <v>3384</v>
      </c>
      <c r="AA341" s="392">
        <v>6147</v>
      </c>
    </row>
    <row r="342" spans="17:27" ht="13.8">
      <c r="Q342" s="385">
        <f t="shared" si="5"/>
        <v>336</v>
      </c>
      <c r="R342" s="386" t="s">
        <v>2173</v>
      </c>
      <c r="S342" s="386" t="s">
        <v>2174</v>
      </c>
      <c r="T342" s="387" t="s">
        <v>1433</v>
      </c>
      <c r="U342" s="385" t="s">
        <v>2175</v>
      </c>
      <c r="V342" s="385" t="s">
        <v>2999</v>
      </c>
      <c r="W342" s="386" t="s">
        <v>2999</v>
      </c>
      <c r="X342" s="324" t="s">
        <v>3363</v>
      </c>
      <c r="Y342" s="324" t="s">
        <v>3398</v>
      </c>
      <c r="Z342" s="322" t="s">
        <v>3379</v>
      </c>
      <c r="AA342" s="392">
        <v>3036</v>
      </c>
    </row>
    <row r="343" spans="17:27" ht="13.8">
      <c r="Q343" s="385">
        <f t="shared" si="5"/>
        <v>337</v>
      </c>
      <c r="R343" s="386" t="s">
        <v>2176</v>
      </c>
      <c r="S343" s="386" t="s">
        <v>2177</v>
      </c>
      <c r="T343" s="387" t="s">
        <v>1168</v>
      </c>
      <c r="U343" s="385" t="s">
        <v>2178</v>
      </c>
      <c r="V343" s="385" t="s">
        <v>3000</v>
      </c>
      <c r="W343" s="386" t="s">
        <v>3234</v>
      </c>
      <c r="X343" s="324" t="s">
        <v>3363</v>
      </c>
      <c r="Y343" s="324" t="s">
        <v>3398</v>
      </c>
      <c r="Z343" s="322" t="s">
        <v>3379</v>
      </c>
      <c r="AA343" s="392">
        <v>4869</v>
      </c>
    </row>
    <row r="344" spans="17:27" ht="13.8">
      <c r="Q344" s="385">
        <f t="shared" si="5"/>
        <v>338</v>
      </c>
      <c r="R344" s="386" t="s">
        <v>2179</v>
      </c>
      <c r="S344" s="386" t="s">
        <v>2180</v>
      </c>
      <c r="T344" s="387" t="s">
        <v>1168</v>
      </c>
      <c r="U344" s="385" t="s">
        <v>2181</v>
      </c>
      <c r="V344" s="385" t="s">
        <v>2180</v>
      </c>
      <c r="W344" s="386" t="s">
        <v>3234</v>
      </c>
      <c r="X344" s="324" t="s">
        <v>3362</v>
      </c>
      <c r="Y344" s="324" t="s">
        <v>3399</v>
      </c>
      <c r="Z344" s="322" t="s">
        <v>3384</v>
      </c>
      <c r="AA344" s="392">
        <v>27935</v>
      </c>
    </row>
    <row r="345" spans="17:27" ht="13.8">
      <c r="Q345" s="385">
        <f t="shared" si="5"/>
        <v>339</v>
      </c>
      <c r="R345" s="386" t="s">
        <v>2182</v>
      </c>
      <c r="S345" s="386" t="s">
        <v>2183</v>
      </c>
      <c r="T345" s="387" t="s">
        <v>1316</v>
      </c>
      <c r="U345" s="385" t="s">
        <v>2184</v>
      </c>
      <c r="V345" s="385" t="s">
        <v>3001</v>
      </c>
      <c r="W345" s="386" t="s">
        <v>3001</v>
      </c>
      <c r="X345" s="324" t="s">
        <v>3363</v>
      </c>
      <c r="Y345" s="324" t="s">
        <v>3398</v>
      </c>
      <c r="Z345" s="322" t="s">
        <v>3379</v>
      </c>
      <c r="AA345" s="392">
        <v>3232</v>
      </c>
    </row>
    <row r="346" spans="17:27" ht="13.8">
      <c r="Q346" s="385">
        <f t="shared" si="5"/>
        <v>340</v>
      </c>
      <c r="R346" s="386" t="s">
        <v>2185</v>
      </c>
      <c r="S346" s="388" t="s">
        <v>2186</v>
      </c>
      <c r="T346" s="387" t="s">
        <v>1399</v>
      </c>
      <c r="U346" s="385" t="s">
        <v>2187</v>
      </c>
      <c r="V346" s="385" t="s">
        <v>3326</v>
      </c>
      <c r="W346" s="388" t="s">
        <v>3326</v>
      </c>
      <c r="X346" s="324" t="s">
        <v>3364</v>
      </c>
      <c r="Y346" s="324" t="s">
        <v>3398</v>
      </c>
      <c r="Z346" s="322" t="s">
        <v>3387</v>
      </c>
      <c r="AA346" s="392">
        <v>55181</v>
      </c>
    </row>
    <row r="347" spans="17:27" ht="13.8">
      <c r="Q347" s="385">
        <f t="shared" si="5"/>
        <v>341</v>
      </c>
      <c r="R347" s="386" t="s">
        <v>2188</v>
      </c>
      <c r="S347" s="386" t="s">
        <v>2189</v>
      </c>
      <c r="T347" s="387" t="s">
        <v>1237</v>
      </c>
      <c r="U347" s="385" t="s">
        <v>2190</v>
      </c>
      <c r="V347" s="385" t="s">
        <v>2189</v>
      </c>
      <c r="W347" s="386" t="s">
        <v>3235</v>
      </c>
      <c r="X347" s="324" t="s">
        <v>3362</v>
      </c>
      <c r="Y347" s="324" t="s">
        <v>3399</v>
      </c>
      <c r="Z347" s="322" t="s">
        <v>3384</v>
      </c>
      <c r="AA347" s="392">
        <v>7385</v>
      </c>
    </row>
    <row r="348" spans="17:27" ht="13.8">
      <c r="Q348" s="385">
        <f t="shared" si="5"/>
        <v>342</v>
      </c>
      <c r="R348" s="386" t="s">
        <v>2191</v>
      </c>
      <c r="S348" s="386" t="s">
        <v>2192</v>
      </c>
      <c r="T348" s="387" t="s">
        <v>1176</v>
      </c>
      <c r="U348" s="385" t="s">
        <v>2193</v>
      </c>
      <c r="V348" s="385" t="s">
        <v>3002</v>
      </c>
      <c r="W348" s="386" t="s">
        <v>3002</v>
      </c>
      <c r="X348" s="324" t="s">
        <v>3363</v>
      </c>
      <c r="Y348" s="324" t="s">
        <v>3398</v>
      </c>
      <c r="Z348" s="322" t="s">
        <v>3379</v>
      </c>
      <c r="AA348" s="392">
        <v>16341</v>
      </c>
    </row>
    <row r="349" spans="17:27" ht="13.8">
      <c r="Q349" s="385">
        <f t="shared" si="5"/>
        <v>343</v>
      </c>
      <c r="R349" s="386" t="s">
        <v>2194</v>
      </c>
      <c r="S349" s="386" t="s">
        <v>2195</v>
      </c>
      <c r="T349" s="387" t="s">
        <v>1274</v>
      </c>
      <c r="U349" s="385" t="s">
        <v>2196</v>
      </c>
      <c r="V349" s="385" t="s">
        <v>3003</v>
      </c>
      <c r="W349" s="386" t="s">
        <v>3003</v>
      </c>
      <c r="X349" s="324" t="s">
        <v>3363</v>
      </c>
      <c r="Y349" s="324" t="s">
        <v>3398</v>
      </c>
      <c r="Z349" s="322" t="s">
        <v>3379</v>
      </c>
      <c r="AA349" s="392">
        <v>12171</v>
      </c>
    </row>
    <row r="350" spans="17:27" ht="13.8">
      <c r="Q350" s="385">
        <f t="shared" si="5"/>
        <v>344</v>
      </c>
      <c r="R350" s="386" t="s">
        <v>2197</v>
      </c>
      <c r="S350" s="386" t="s">
        <v>2198</v>
      </c>
      <c r="T350" s="387" t="s">
        <v>1258</v>
      </c>
      <c r="U350" s="385" t="s">
        <v>2199</v>
      </c>
      <c r="V350" s="385" t="s">
        <v>3327</v>
      </c>
      <c r="W350" s="386" t="s">
        <v>3327</v>
      </c>
      <c r="X350" s="324" t="s">
        <v>3364</v>
      </c>
      <c r="Y350" s="324" t="s">
        <v>3398</v>
      </c>
      <c r="Z350" s="322" t="s">
        <v>3386</v>
      </c>
      <c r="AA350" s="392">
        <v>277140</v>
      </c>
    </row>
    <row r="351" spans="17:27" ht="13.8">
      <c r="Q351" s="385">
        <f t="shared" si="5"/>
        <v>345</v>
      </c>
      <c r="R351" s="386" t="s">
        <v>2200</v>
      </c>
      <c r="S351" s="386" t="s">
        <v>2201</v>
      </c>
      <c r="T351" s="387" t="s">
        <v>1433</v>
      </c>
      <c r="U351" s="385" t="s">
        <v>2202</v>
      </c>
      <c r="V351" s="385" t="s">
        <v>3004</v>
      </c>
      <c r="W351" s="386" t="s">
        <v>3004</v>
      </c>
      <c r="X351" s="324" t="s">
        <v>3363</v>
      </c>
      <c r="Y351" s="324" t="s">
        <v>3398</v>
      </c>
      <c r="Z351" s="322" t="s">
        <v>3379</v>
      </c>
      <c r="AA351" s="392">
        <v>1553</v>
      </c>
    </row>
    <row r="352" spans="17:27" ht="13.8">
      <c r="Q352" s="385">
        <f t="shared" si="5"/>
        <v>346</v>
      </c>
      <c r="R352" s="386" t="s">
        <v>2203</v>
      </c>
      <c r="S352" s="386" t="s">
        <v>2204</v>
      </c>
      <c r="T352" s="387" t="s">
        <v>1197</v>
      </c>
      <c r="U352" s="385" t="s">
        <v>2205</v>
      </c>
      <c r="V352" s="385" t="s">
        <v>3352</v>
      </c>
      <c r="W352" s="386" t="s">
        <v>3352</v>
      </c>
      <c r="X352" s="324" t="s">
        <v>2856</v>
      </c>
      <c r="Y352" s="324" t="s">
        <v>3398</v>
      </c>
      <c r="Z352" s="322" t="s">
        <v>3385</v>
      </c>
      <c r="AA352" s="392">
        <v>7997</v>
      </c>
    </row>
    <row r="353" spans="17:27" ht="13.8">
      <c r="Q353" s="385">
        <f t="shared" si="5"/>
        <v>347</v>
      </c>
      <c r="R353" s="386" t="s">
        <v>2206</v>
      </c>
      <c r="S353" s="386" t="s">
        <v>2207</v>
      </c>
      <c r="T353" s="387" t="s">
        <v>1176</v>
      </c>
      <c r="U353" s="385" t="s">
        <v>2208</v>
      </c>
      <c r="V353" s="385" t="s">
        <v>3005</v>
      </c>
      <c r="W353" s="386" t="s">
        <v>3005</v>
      </c>
      <c r="X353" s="324" t="s">
        <v>3363</v>
      </c>
      <c r="Y353" s="324" t="s">
        <v>3398</v>
      </c>
      <c r="Z353" s="322" t="s">
        <v>3379</v>
      </c>
      <c r="AA353" s="392">
        <v>15392</v>
      </c>
    </row>
    <row r="354" spans="17:27" ht="13.8">
      <c r="Q354" s="385">
        <f t="shared" si="5"/>
        <v>348</v>
      </c>
      <c r="R354" s="386" t="s">
        <v>2209</v>
      </c>
      <c r="S354" s="386" t="s">
        <v>2210</v>
      </c>
      <c r="T354" s="387" t="s">
        <v>1244</v>
      </c>
      <c r="U354" s="385" t="s">
        <v>2211</v>
      </c>
      <c r="V354" s="385" t="s">
        <v>2210</v>
      </c>
      <c r="W354" s="386" t="s">
        <v>3236</v>
      </c>
      <c r="X354" s="324" t="s">
        <v>3362</v>
      </c>
      <c r="Y354" s="324" t="s">
        <v>3400</v>
      </c>
      <c r="Z354" s="322" t="s">
        <v>3394</v>
      </c>
      <c r="AA354" s="392">
        <v>60773</v>
      </c>
    </row>
    <row r="355" spans="17:27" ht="13.8">
      <c r="Q355" s="385">
        <f t="shared" si="5"/>
        <v>349</v>
      </c>
      <c r="R355" s="386" t="s">
        <v>2212</v>
      </c>
      <c r="S355" s="386" t="s">
        <v>2213</v>
      </c>
      <c r="T355" s="387" t="s">
        <v>1399</v>
      </c>
      <c r="U355" s="385" t="s">
        <v>2214</v>
      </c>
      <c r="V355" s="385" t="s">
        <v>2213</v>
      </c>
      <c r="W355" s="386" t="s">
        <v>3237</v>
      </c>
      <c r="X355" s="324" t="s">
        <v>3362</v>
      </c>
      <c r="Y355" s="324" t="s">
        <v>3398</v>
      </c>
      <c r="Z355" s="322" t="s">
        <v>3379</v>
      </c>
      <c r="AA355" s="392">
        <v>40742</v>
      </c>
    </row>
    <row r="356" spans="17:27" ht="13.8">
      <c r="Q356" s="385">
        <f t="shared" si="5"/>
        <v>350</v>
      </c>
      <c r="R356" s="386" t="s">
        <v>2215</v>
      </c>
      <c r="S356" s="386" t="s">
        <v>2216</v>
      </c>
      <c r="T356" s="387" t="s">
        <v>1258</v>
      </c>
      <c r="U356" s="385" t="s">
        <v>2217</v>
      </c>
      <c r="V356" s="385" t="s">
        <v>3006</v>
      </c>
      <c r="W356" s="386" t="s">
        <v>3006</v>
      </c>
      <c r="X356" s="324" t="s">
        <v>3363</v>
      </c>
      <c r="Y356" s="324" t="s">
        <v>3400</v>
      </c>
      <c r="Z356" s="322" t="s">
        <v>3394</v>
      </c>
      <c r="AA356" s="392">
        <v>6183</v>
      </c>
    </row>
    <row r="357" spans="17:27" ht="13.8">
      <c r="Q357" s="385">
        <f t="shared" si="5"/>
        <v>351</v>
      </c>
      <c r="R357" s="386" t="s">
        <v>2218</v>
      </c>
      <c r="S357" s="386" t="s">
        <v>2219</v>
      </c>
      <c r="T357" s="387" t="s">
        <v>1306</v>
      </c>
      <c r="U357" s="385" t="s">
        <v>2220</v>
      </c>
      <c r="V357" s="385" t="s">
        <v>3007</v>
      </c>
      <c r="W357" s="386" t="s">
        <v>3007</v>
      </c>
      <c r="X357" s="324" t="s">
        <v>3363</v>
      </c>
      <c r="Y357" s="324" t="s">
        <v>3398</v>
      </c>
      <c r="Z357" s="322" t="s">
        <v>3379</v>
      </c>
      <c r="AA357" s="392">
        <v>8417</v>
      </c>
    </row>
    <row r="358" spans="17:27" ht="13.8">
      <c r="Q358" s="385">
        <f t="shared" si="5"/>
        <v>352</v>
      </c>
      <c r="R358" s="386" t="s">
        <v>2221</v>
      </c>
      <c r="S358" s="386" t="s">
        <v>2222</v>
      </c>
      <c r="T358" s="387" t="s">
        <v>1237</v>
      </c>
      <c r="U358" s="385" t="s">
        <v>2223</v>
      </c>
      <c r="V358" s="385" t="s">
        <v>2222</v>
      </c>
      <c r="W358" s="386" t="s">
        <v>3238</v>
      </c>
      <c r="X358" s="324" t="s">
        <v>3362</v>
      </c>
      <c r="Y358" s="324" t="s">
        <v>3399</v>
      </c>
      <c r="Z358" s="322" t="s">
        <v>3384</v>
      </c>
      <c r="AA358" s="392">
        <v>7678</v>
      </c>
    </row>
    <row r="359" spans="17:27" ht="13.8">
      <c r="Q359" s="385">
        <f t="shared" si="5"/>
        <v>353</v>
      </c>
      <c r="R359" s="386" t="s">
        <v>2224</v>
      </c>
      <c r="S359" s="386" t="s">
        <v>2225</v>
      </c>
      <c r="T359" s="387" t="s">
        <v>1254</v>
      </c>
      <c r="U359" s="385" t="s">
        <v>2226</v>
      </c>
      <c r="V359" s="385" t="s">
        <v>3008</v>
      </c>
      <c r="W359" s="386" t="s">
        <v>3008</v>
      </c>
      <c r="X359" s="324" t="s">
        <v>3363</v>
      </c>
      <c r="Y359" s="324" t="s">
        <v>3398</v>
      </c>
      <c r="Z359" s="322" t="s">
        <v>3380</v>
      </c>
      <c r="AA359" s="392">
        <v>21936</v>
      </c>
    </row>
    <row r="360" spans="17:27" ht="13.8">
      <c r="Q360" s="385">
        <f t="shared" si="5"/>
        <v>354</v>
      </c>
      <c r="R360" s="386" t="s">
        <v>2227</v>
      </c>
      <c r="S360" s="386" t="s">
        <v>2228</v>
      </c>
      <c r="T360" s="387" t="s">
        <v>1220</v>
      </c>
      <c r="U360" s="385" t="s">
        <v>2229</v>
      </c>
      <c r="V360" s="385" t="s">
        <v>3328</v>
      </c>
      <c r="W360" s="386" t="s">
        <v>3328</v>
      </c>
      <c r="X360" s="324" t="s">
        <v>3364</v>
      </c>
      <c r="Y360" s="324" t="s">
        <v>3398</v>
      </c>
      <c r="Z360" s="322" t="s">
        <v>3380</v>
      </c>
      <c r="AA360" s="392">
        <v>4041</v>
      </c>
    </row>
    <row r="361" spans="17:27" ht="13.8">
      <c r="Q361" s="385">
        <f t="shared" si="5"/>
        <v>355</v>
      </c>
      <c r="R361" s="386" t="s">
        <v>2230</v>
      </c>
      <c r="S361" s="386" t="s">
        <v>2231</v>
      </c>
      <c r="T361" s="387" t="s">
        <v>1172</v>
      </c>
      <c r="U361" s="385" t="s">
        <v>2232</v>
      </c>
      <c r="V361" s="385" t="s">
        <v>3329</v>
      </c>
      <c r="W361" s="386" t="s">
        <v>3329</v>
      </c>
      <c r="X361" s="324" t="s">
        <v>3364</v>
      </c>
      <c r="Y361" s="324" t="s">
        <v>3398</v>
      </c>
      <c r="Z361" s="322" t="s">
        <v>3380</v>
      </c>
      <c r="AA361" s="392">
        <v>8624</v>
      </c>
    </row>
    <row r="362" spans="17:27" ht="13.8">
      <c r="Q362" s="385">
        <f t="shared" si="5"/>
        <v>356</v>
      </c>
      <c r="R362" s="386" t="s">
        <v>2233</v>
      </c>
      <c r="S362" s="386" t="s">
        <v>2234</v>
      </c>
      <c r="T362" s="387" t="s">
        <v>1176</v>
      </c>
      <c r="U362" s="385" t="s">
        <v>2235</v>
      </c>
      <c r="V362" s="385" t="s">
        <v>3009</v>
      </c>
      <c r="W362" s="386" t="s">
        <v>3009</v>
      </c>
      <c r="X362" s="324" t="s">
        <v>3363</v>
      </c>
      <c r="Y362" s="324" t="s">
        <v>3398</v>
      </c>
      <c r="Z362" s="322" t="s">
        <v>3379</v>
      </c>
      <c r="AA362" s="392">
        <v>4640</v>
      </c>
    </row>
    <row r="363" spans="17:27" ht="13.8">
      <c r="Q363" s="385">
        <f t="shared" si="5"/>
        <v>357</v>
      </c>
      <c r="R363" s="386" t="s">
        <v>2236</v>
      </c>
      <c r="S363" s="386" t="s">
        <v>2237</v>
      </c>
      <c r="T363" s="387" t="s">
        <v>1176</v>
      </c>
      <c r="U363" s="385" t="s">
        <v>2238</v>
      </c>
      <c r="V363" s="385" t="s">
        <v>3010</v>
      </c>
      <c r="W363" s="386" t="s">
        <v>3010</v>
      </c>
      <c r="X363" s="324" t="s">
        <v>3363</v>
      </c>
      <c r="Y363" s="324" t="s">
        <v>3398</v>
      </c>
      <c r="Z363" s="322" t="s">
        <v>3379</v>
      </c>
      <c r="AA363" s="392">
        <v>5711</v>
      </c>
    </row>
    <row r="364" spans="17:27" ht="13.8">
      <c r="Q364" s="385">
        <f t="shared" si="5"/>
        <v>358</v>
      </c>
      <c r="R364" s="386" t="s">
        <v>2239</v>
      </c>
      <c r="S364" s="386" t="s">
        <v>2240</v>
      </c>
      <c r="T364" s="387" t="s">
        <v>1258</v>
      </c>
      <c r="U364" s="385" t="s">
        <v>2241</v>
      </c>
      <c r="V364" s="385" t="s">
        <v>2240</v>
      </c>
      <c r="W364" s="386" t="s">
        <v>3239</v>
      </c>
      <c r="X364" s="324" t="s">
        <v>3362</v>
      </c>
      <c r="Y364" s="324" t="s">
        <v>3398</v>
      </c>
      <c r="Z364" s="322" t="s">
        <v>3379</v>
      </c>
      <c r="AA364" s="392">
        <v>28370</v>
      </c>
    </row>
    <row r="365" spans="17:27" ht="13.8">
      <c r="Q365" s="385">
        <f t="shared" si="5"/>
        <v>359</v>
      </c>
      <c r="R365" s="386" t="s">
        <v>2242</v>
      </c>
      <c r="S365" s="386" t="s">
        <v>2243</v>
      </c>
      <c r="T365" s="387" t="s">
        <v>1176</v>
      </c>
      <c r="U365" s="385" t="s">
        <v>2244</v>
      </c>
      <c r="V365" s="385" t="s">
        <v>3011</v>
      </c>
      <c r="W365" s="386" t="s">
        <v>3011</v>
      </c>
      <c r="X365" s="324" t="s">
        <v>3363</v>
      </c>
      <c r="Y365" s="324" t="s">
        <v>3398</v>
      </c>
      <c r="Z365" s="322" t="s">
        <v>3379</v>
      </c>
      <c r="AA365" s="392">
        <v>12754</v>
      </c>
    </row>
    <row r="366" spans="17:27" ht="13.8">
      <c r="Q366" s="385">
        <f t="shared" si="5"/>
        <v>360</v>
      </c>
      <c r="R366" s="386" t="s">
        <v>2245</v>
      </c>
      <c r="S366" s="386" t="s">
        <v>2246</v>
      </c>
      <c r="T366" s="387" t="s">
        <v>1213</v>
      </c>
      <c r="U366" s="385" t="s">
        <v>2247</v>
      </c>
      <c r="V366" s="385" t="s">
        <v>3012</v>
      </c>
      <c r="W366" s="386" t="s">
        <v>3012</v>
      </c>
      <c r="X366" s="324" t="s">
        <v>3363</v>
      </c>
      <c r="Y366" s="324" t="s">
        <v>3398</v>
      </c>
      <c r="Z366" s="322" t="s">
        <v>3379</v>
      </c>
      <c r="AA366" s="392">
        <v>4038</v>
      </c>
    </row>
    <row r="367" spans="17:27" ht="13.8">
      <c r="Q367" s="385">
        <f t="shared" si="5"/>
        <v>361</v>
      </c>
      <c r="R367" s="386" t="s">
        <v>2248</v>
      </c>
      <c r="S367" s="386" t="s">
        <v>2249</v>
      </c>
      <c r="T367" s="387" t="s">
        <v>1220</v>
      </c>
      <c r="U367" s="385" t="s">
        <v>2250</v>
      </c>
      <c r="V367" s="385" t="s">
        <v>3360</v>
      </c>
      <c r="W367" s="386" t="s">
        <v>3360</v>
      </c>
      <c r="X367" s="324" t="s">
        <v>3364</v>
      </c>
      <c r="Y367" s="324" t="s">
        <v>3398</v>
      </c>
      <c r="Z367" s="322" t="s">
        <v>3380</v>
      </c>
      <c r="AA367" s="392">
        <v>11701</v>
      </c>
    </row>
    <row r="368" spans="17:27" ht="13.8">
      <c r="Q368" s="385">
        <f t="shared" si="5"/>
        <v>362</v>
      </c>
      <c r="R368" s="386" t="s">
        <v>2251</v>
      </c>
      <c r="S368" s="386" t="s">
        <v>2252</v>
      </c>
      <c r="T368" s="387" t="s">
        <v>1227</v>
      </c>
      <c r="U368" s="385" t="s">
        <v>2253</v>
      </c>
      <c r="V368" s="385" t="s">
        <v>3013</v>
      </c>
      <c r="W368" s="386" t="s">
        <v>3013</v>
      </c>
      <c r="X368" s="324" t="s">
        <v>3363</v>
      </c>
      <c r="Y368" s="324" t="s">
        <v>3398</v>
      </c>
      <c r="Z368" s="322" t="s">
        <v>3379</v>
      </c>
      <c r="AA368" s="392">
        <v>2011</v>
      </c>
    </row>
    <row r="369" spans="17:27" ht="13.8">
      <c r="Q369" s="385">
        <f t="shared" si="5"/>
        <v>363</v>
      </c>
      <c r="R369" s="386" t="s">
        <v>2254</v>
      </c>
      <c r="S369" s="386" t="s">
        <v>2255</v>
      </c>
      <c r="T369" s="387" t="s">
        <v>1168</v>
      </c>
      <c r="U369" s="385" t="s">
        <v>2256</v>
      </c>
      <c r="V369" s="385" t="s">
        <v>2255</v>
      </c>
      <c r="W369" s="386" t="s">
        <v>1227</v>
      </c>
      <c r="X369" s="324" t="s">
        <v>3362</v>
      </c>
      <c r="Y369" s="324" t="s">
        <v>3398</v>
      </c>
      <c r="Z369" s="322" t="s">
        <v>3379</v>
      </c>
      <c r="AA369" s="392">
        <v>27291</v>
      </c>
    </row>
    <row r="370" spans="17:27" ht="13.8">
      <c r="Q370" s="385">
        <f t="shared" si="5"/>
        <v>364</v>
      </c>
      <c r="R370" s="386" t="s">
        <v>2257</v>
      </c>
      <c r="S370" s="386" t="s">
        <v>2255</v>
      </c>
      <c r="T370" s="387" t="s">
        <v>1227</v>
      </c>
      <c r="U370" s="385" t="s">
        <v>2258</v>
      </c>
      <c r="V370" s="385" t="s">
        <v>2255</v>
      </c>
      <c r="W370" s="386" t="s">
        <v>1227</v>
      </c>
      <c r="X370" s="324" t="s">
        <v>3362</v>
      </c>
      <c r="Y370" s="324" t="s">
        <v>3399</v>
      </c>
      <c r="Z370" s="322" t="s">
        <v>3381</v>
      </c>
      <c r="AA370" s="392">
        <v>8332</v>
      </c>
    </row>
    <row r="371" spans="17:27" ht="13.8">
      <c r="Q371" s="385">
        <f t="shared" si="5"/>
        <v>365</v>
      </c>
      <c r="R371" s="386" t="s">
        <v>2259</v>
      </c>
      <c r="S371" s="386" t="s">
        <v>2260</v>
      </c>
      <c r="T371" s="387" t="s">
        <v>1168</v>
      </c>
      <c r="U371" s="385" t="s">
        <v>2261</v>
      </c>
      <c r="V371" s="385" t="s">
        <v>3014</v>
      </c>
      <c r="W371" s="386" t="s">
        <v>3014</v>
      </c>
      <c r="X371" s="324" t="s">
        <v>3363</v>
      </c>
      <c r="Y371" s="324" t="s">
        <v>3398</v>
      </c>
      <c r="Z371" s="322" t="s">
        <v>3385</v>
      </c>
      <c r="AA371" s="392">
        <v>5832</v>
      </c>
    </row>
    <row r="372" spans="17:27" ht="13.8">
      <c r="Q372" s="385">
        <f t="shared" si="5"/>
        <v>366</v>
      </c>
      <c r="R372" s="386" t="s">
        <v>2262</v>
      </c>
      <c r="S372" s="386" t="s">
        <v>2263</v>
      </c>
      <c r="T372" s="387" t="s">
        <v>1197</v>
      </c>
      <c r="U372" s="385" t="s">
        <v>2264</v>
      </c>
      <c r="V372" s="385" t="s">
        <v>3015</v>
      </c>
      <c r="W372" s="386" t="s">
        <v>3015</v>
      </c>
      <c r="X372" s="324" t="s">
        <v>3363</v>
      </c>
      <c r="Y372" s="324" t="s">
        <v>3398</v>
      </c>
      <c r="Z372" s="322" t="s">
        <v>3379</v>
      </c>
      <c r="AA372" s="392">
        <v>2410</v>
      </c>
    </row>
    <row r="373" spans="17:27" ht="13.8">
      <c r="Q373" s="385">
        <f t="shared" si="5"/>
        <v>367</v>
      </c>
      <c r="R373" s="389" t="s">
        <v>2265</v>
      </c>
      <c r="S373" s="389" t="s">
        <v>2266</v>
      </c>
      <c r="T373" s="387" t="s">
        <v>1399</v>
      </c>
      <c r="U373" s="385" t="s">
        <v>2267</v>
      </c>
      <c r="V373" s="385" t="s">
        <v>2266</v>
      </c>
      <c r="W373" s="389" t="s">
        <v>3240</v>
      </c>
      <c r="X373" s="324" t="s">
        <v>3362</v>
      </c>
      <c r="Y373" s="324" t="s">
        <v>3398</v>
      </c>
      <c r="Z373" s="322" t="s">
        <v>3386</v>
      </c>
      <c r="AA373" s="392">
        <v>65375</v>
      </c>
    </row>
    <row r="374" spans="17:27" ht="13.8">
      <c r="Q374" s="385">
        <f t="shared" si="5"/>
        <v>368</v>
      </c>
      <c r="R374" s="386" t="s">
        <v>2268</v>
      </c>
      <c r="S374" s="386" t="s">
        <v>2269</v>
      </c>
      <c r="T374" s="387" t="s">
        <v>1176</v>
      </c>
      <c r="U374" s="385" t="s">
        <v>2270</v>
      </c>
      <c r="V374" s="385" t="s">
        <v>3016</v>
      </c>
      <c r="W374" s="386" t="s">
        <v>3016</v>
      </c>
      <c r="X374" s="324" t="s">
        <v>3363</v>
      </c>
      <c r="Y374" s="324" t="s">
        <v>3398</v>
      </c>
      <c r="Z374" s="322" t="s">
        <v>3379</v>
      </c>
      <c r="AA374" s="392">
        <v>5750</v>
      </c>
    </row>
    <row r="375" spans="17:27" ht="13.8">
      <c r="Q375" s="385">
        <f t="shared" si="5"/>
        <v>369</v>
      </c>
      <c r="R375" s="386" t="s">
        <v>2271</v>
      </c>
      <c r="S375" s="386" t="s">
        <v>2272</v>
      </c>
      <c r="T375" s="387" t="s">
        <v>1186</v>
      </c>
      <c r="U375" s="385" t="s">
        <v>2273</v>
      </c>
      <c r="V375" s="385" t="s">
        <v>2272</v>
      </c>
      <c r="W375" s="386" t="s">
        <v>3241</v>
      </c>
      <c r="X375" s="324" t="s">
        <v>3362</v>
      </c>
      <c r="Y375" s="324" t="s">
        <v>3399</v>
      </c>
      <c r="Z375" s="322" t="s">
        <v>3381</v>
      </c>
      <c r="AA375" s="392">
        <v>1773</v>
      </c>
    </row>
    <row r="376" spans="17:27" ht="13.8">
      <c r="Q376" s="385">
        <f t="shared" si="5"/>
        <v>370</v>
      </c>
      <c r="R376" s="386" t="s">
        <v>2274</v>
      </c>
      <c r="S376" s="386" t="s">
        <v>2275</v>
      </c>
      <c r="T376" s="387" t="s">
        <v>1176</v>
      </c>
      <c r="U376" s="385" t="s">
        <v>2276</v>
      </c>
      <c r="V376" s="385" t="s">
        <v>3017</v>
      </c>
      <c r="W376" s="386" t="s">
        <v>3017</v>
      </c>
      <c r="X376" s="324" t="s">
        <v>3363</v>
      </c>
      <c r="Y376" s="324" t="s">
        <v>3398</v>
      </c>
      <c r="Z376" s="322" t="s">
        <v>3379</v>
      </c>
      <c r="AA376" s="392">
        <v>7978</v>
      </c>
    </row>
    <row r="377" spans="17:27" ht="13.8">
      <c r="Q377" s="385">
        <f t="shared" si="5"/>
        <v>371</v>
      </c>
      <c r="R377" s="386" t="s">
        <v>2277</v>
      </c>
      <c r="S377" s="386" t="s">
        <v>2278</v>
      </c>
      <c r="T377" s="387" t="s">
        <v>1258</v>
      </c>
      <c r="U377" s="385" t="s">
        <v>2279</v>
      </c>
      <c r="V377" s="385" t="s">
        <v>3330</v>
      </c>
      <c r="W377" s="386" t="s">
        <v>3345</v>
      </c>
      <c r="X377" s="324" t="s">
        <v>3364</v>
      </c>
      <c r="Y377" s="324" t="s">
        <v>3398</v>
      </c>
      <c r="Z377" s="322" t="s">
        <v>3380</v>
      </c>
      <c r="AA377" s="392">
        <v>30134</v>
      </c>
    </row>
    <row r="378" spans="17:27" ht="13.8">
      <c r="Q378" s="385">
        <f t="shared" si="5"/>
        <v>372</v>
      </c>
      <c r="R378" s="386" t="s">
        <v>2280</v>
      </c>
      <c r="S378" s="386" t="s">
        <v>2281</v>
      </c>
      <c r="T378" s="387" t="s">
        <v>1190</v>
      </c>
      <c r="U378" s="385" t="s">
        <v>2282</v>
      </c>
      <c r="V378" s="385" t="s">
        <v>2281</v>
      </c>
      <c r="W378" s="386" t="s">
        <v>3242</v>
      </c>
      <c r="X378" s="324" t="s">
        <v>3362</v>
      </c>
      <c r="Y378" s="324" t="s">
        <v>3399</v>
      </c>
      <c r="Z378" s="322" t="s">
        <v>3381</v>
      </c>
      <c r="AA378" s="392">
        <v>2514</v>
      </c>
    </row>
    <row r="379" spans="17:27" ht="13.8">
      <c r="Q379" s="385">
        <f t="shared" si="5"/>
        <v>373</v>
      </c>
      <c r="R379" s="386" t="s">
        <v>2283</v>
      </c>
      <c r="S379" s="386" t="s">
        <v>2284</v>
      </c>
      <c r="T379" s="387" t="s">
        <v>1176</v>
      </c>
      <c r="U379" s="385" t="s">
        <v>2285</v>
      </c>
      <c r="V379" s="385" t="s">
        <v>3018</v>
      </c>
      <c r="W379" s="386" t="s">
        <v>3018</v>
      </c>
      <c r="X379" s="324" t="s">
        <v>3363</v>
      </c>
      <c r="Y379" s="324" t="s">
        <v>3398</v>
      </c>
      <c r="Z379" s="322" t="s">
        <v>3379</v>
      </c>
      <c r="AA379" s="392">
        <v>19622</v>
      </c>
    </row>
    <row r="380" spans="17:27" ht="13.8">
      <c r="Q380" s="385">
        <f t="shared" si="5"/>
        <v>374</v>
      </c>
      <c r="R380" s="386" t="s">
        <v>2286</v>
      </c>
      <c r="S380" s="386" t="s">
        <v>2287</v>
      </c>
      <c r="T380" s="387" t="s">
        <v>1237</v>
      </c>
      <c r="U380" s="385" t="s">
        <v>2288</v>
      </c>
      <c r="V380" s="385" t="s">
        <v>3019</v>
      </c>
      <c r="W380" s="386" t="s">
        <v>3019</v>
      </c>
      <c r="X380" s="324" t="s">
        <v>3363</v>
      </c>
      <c r="Y380" s="324" t="s">
        <v>3398</v>
      </c>
      <c r="Z380" s="322" t="s">
        <v>3379</v>
      </c>
      <c r="AA380" s="392">
        <v>7398</v>
      </c>
    </row>
    <row r="381" spans="17:27" ht="13.8">
      <c r="Q381" s="385">
        <f t="shared" si="5"/>
        <v>375</v>
      </c>
      <c r="R381" s="386" t="s">
        <v>2289</v>
      </c>
      <c r="S381" s="386" t="s">
        <v>2290</v>
      </c>
      <c r="T381" s="387" t="s">
        <v>1176</v>
      </c>
      <c r="U381" s="385" t="s">
        <v>2291</v>
      </c>
      <c r="V381" s="385" t="s">
        <v>3020</v>
      </c>
      <c r="W381" s="386" t="s">
        <v>3020</v>
      </c>
      <c r="X381" s="324" t="s">
        <v>3363</v>
      </c>
      <c r="Y381" s="324" t="s">
        <v>3398</v>
      </c>
      <c r="Z381" s="322" t="s">
        <v>3379</v>
      </c>
      <c r="AA381" s="392">
        <v>26342</v>
      </c>
    </row>
    <row r="382" spans="17:27" ht="13.8">
      <c r="Q382" s="385">
        <f t="shared" si="5"/>
        <v>376</v>
      </c>
      <c r="R382" s="386" t="s">
        <v>2292</v>
      </c>
      <c r="S382" s="386" t="s">
        <v>2293</v>
      </c>
      <c r="T382" s="387" t="s">
        <v>1176</v>
      </c>
      <c r="U382" s="385" t="s">
        <v>2294</v>
      </c>
      <c r="V382" s="385" t="s">
        <v>3021</v>
      </c>
      <c r="W382" s="386" t="s">
        <v>3021</v>
      </c>
      <c r="X382" s="324" t="s">
        <v>3363</v>
      </c>
      <c r="Y382" s="324" t="s">
        <v>3398</v>
      </c>
      <c r="Z382" s="322" t="s">
        <v>3379</v>
      </c>
      <c r="AA382" s="392">
        <v>8645</v>
      </c>
    </row>
    <row r="383" spans="17:27" ht="13.8">
      <c r="Q383" s="385">
        <f t="shared" si="5"/>
        <v>377</v>
      </c>
      <c r="R383" s="386" t="s">
        <v>2295</v>
      </c>
      <c r="S383" s="386" t="s">
        <v>2296</v>
      </c>
      <c r="T383" s="387" t="s">
        <v>1316</v>
      </c>
      <c r="U383" s="385" t="s">
        <v>2297</v>
      </c>
      <c r="V383" s="385" t="s">
        <v>2296</v>
      </c>
      <c r="W383" s="386" t="s">
        <v>3243</v>
      </c>
      <c r="X383" s="324" t="s">
        <v>3362</v>
      </c>
      <c r="Y383" s="324" t="s">
        <v>3398</v>
      </c>
      <c r="Z383" s="322" t="s">
        <v>3387</v>
      </c>
      <c r="AA383" s="392">
        <v>53238</v>
      </c>
    </row>
    <row r="384" spans="17:27" ht="13.8">
      <c r="Q384" s="385">
        <f t="shared" si="5"/>
        <v>378</v>
      </c>
      <c r="R384" s="386" t="s">
        <v>2298</v>
      </c>
      <c r="S384" s="386" t="s">
        <v>2299</v>
      </c>
      <c r="T384" s="387" t="s">
        <v>1306</v>
      </c>
      <c r="U384" s="385" t="s">
        <v>2300</v>
      </c>
      <c r="V384" s="385" t="s">
        <v>1306</v>
      </c>
      <c r="W384" s="386" t="s">
        <v>1306</v>
      </c>
      <c r="X384" s="324" t="s">
        <v>3364</v>
      </c>
      <c r="Y384" s="324" t="s">
        <v>3398</v>
      </c>
      <c r="Z384" s="322" t="s">
        <v>3380</v>
      </c>
      <c r="AA384" s="392">
        <v>69781</v>
      </c>
    </row>
    <row r="385" spans="17:27" ht="13.8">
      <c r="Q385" s="385">
        <f t="shared" si="5"/>
        <v>379</v>
      </c>
      <c r="R385" s="386" t="s">
        <v>2301</v>
      </c>
      <c r="S385" s="386" t="s">
        <v>2302</v>
      </c>
      <c r="T385" s="387" t="s">
        <v>1306</v>
      </c>
      <c r="U385" s="385" t="s">
        <v>2303</v>
      </c>
      <c r="V385" s="385" t="s">
        <v>3331</v>
      </c>
      <c r="W385" s="386" t="s">
        <v>3331</v>
      </c>
      <c r="X385" s="324" t="s">
        <v>3364</v>
      </c>
      <c r="Y385" s="324" t="s">
        <v>3398</v>
      </c>
      <c r="Z385" s="322" t="s">
        <v>3386</v>
      </c>
      <c r="AA385" s="392">
        <v>146199</v>
      </c>
    </row>
    <row r="386" spans="17:27" ht="13.8">
      <c r="Q386" s="385">
        <f t="shared" si="5"/>
        <v>380</v>
      </c>
      <c r="R386" s="386" t="s">
        <v>2304</v>
      </c>
      <c r="S386" s="386" t="s">
        <v>2305</v>
      </c>
      <c r="T386" s="387" t="s">
        <v>1433</v>
      </c>
      <c r="U386" s="385" t="s">
        <v>2306</v>
      </c>
      <c r="V386" s="385" t="s">
        <v>3022</v>
      </c>
      <c r="W386" s="386" t="s">
        <v>3022</v>
      </c>
      <c r="X386" s="324" t="s">
        <v>3363</v>
      </c>
      <c r="Y386" s="324" t="s">
        <v>3398</v>
      </c>
      <c r="Z386" s="322" t="s">
        <v>3379</v>
      </c>
      <c r="AA386" s="392">
        <v>6097</v>
      </c>
    </row>
    <row r="387" spans="17:27" ht="13.8">
      <c r="Q387" s="385">
        <f t="shared" si="5"/>
        <v>381</v>
      </c>
      <c r="R387" s="386" t="s">
        <v>2307</v>
      </c>
      <c r="S387" s="386" t="s">
        <v>2308</v>
      </c>
      <c r="T387" s="387" t="s">
        <v>1254</v>
      </c>
      <c r="U387" s="385" t="s">
        <v>2309</v>
      </c>
      <c r="V387" s="385" t="s">
        <v>3023</v>
      </c>
      <c r="W387" s="386" t="s">
        <v>3023</v>
      </c>
      <c r="X387" s="324" t="s">
        <v>3363</v>
      </c>
      <c r="Y387" s="324" t="s">
        <v>3398</v>
      </c>
      <c r="Z387" s="322" t="s">
        <v>3379</v>
      </c>
      <c r="AA387" s="392">
        <v>2582</v>
      </c>
    </row>
    <row r="388" spans="17:27" ht="13.8">
      <c r="Q388" s="385">
        <f t="shared" si="5"/>
        <v>382</v>
      </c>
      <c r="R388" s="386" t="s">
        <v>2310</v>
      </c>
      <c r="S388" s="386" t="s">
        <v>2311</v>
      </c>
      <c r="T388" s="387" t="s">
        <v>1237</v>
      </c>
      <c r="U388" s="385" t="s">
        <v>2312</v>
      </c>
      <c r="V388" s="385" t="s">
        <v>3024</v>
      </c>
      <c r="W388" s="386" t="s">
        <v>3024</v>
      </c>
      <c r="X388" s="324" t="s">
        <v>3363</v>
      </c>
      <c r="Y388" s="324" t="s">
        <v>3398</v>
      </c>
      <c r="Z388" s="322" t="s">
        <v>3379</v>
      </c>
      <c r="AA388" s="392">
        <v>1409</v>
      </c>
    </row>
    <row r="389" spans="17:27" ht="13.8">
      <c r="Q389" s="385">
        <f t="shared" si="5"/>
        <v>383</v>
      </c>
      <c r="R389" s="386" t="s">
        <v>2313</v>
      </c>
      <c r="S389" s="386" t="s">
        <v>2314</v>
      </c>
      <c r="T389" s="387" t="s">
        <v>1237</v>
      </c>
      <c r="U389" s="385" t="s">
        <v>2315</v>
      </c>
      <c r="V389" s="385" t="s">
        <v>2314</v>
      </c>
      <c r="W389" s="386" t="s">
        <v>3024</v>
      </c>
      <c r="X389" s="324" t="s">
        <v>3362</v>
      </c>
      <c r="Y389" s="324" t="s">
        <v>3398</v>
      </c>
      <c r="Z389" s="322" t="s">
        <v>3387</v>
      </c>
      <c r="AA389" s="392">
        <v>27912</v>
      </c>
    </row>
    <row r="390" spans="17:27" ht="13.8">
      <c r="Q390" s="385">
        <f t="shared" si="5"/>
        <v>384</v>
      </c>
      <c r="R390" s="386" t="s">
        <v>2316</v>
      </c>
      <c r="S390" s="386" t="s">
        <v>2317</v>
      </c>
      <c r="T390" s="387" t="s">
        <v>1539</v>
      </c>
      <c r="U390" s="385" t="s">
        <v>2318</v>
      </c>
      <c r="V390" s="385" t="s">
        <v>3025</v>
      </c>
      <c r="W390" s="386" t="s">
        <v>3025</v>
      </c>
      <c r="X390" s="324" t="s">
        <v>3363</v>
      </c>
      <c r="Y390" s="324" t="s">
        <v>3398</v>
      </c>
      <c r="Z390" s="322" t="s">
        <v>3379</v>
      </c>
      <c r="AA390" s="392">
        <v>2585</v>
      </c>
    </row>
    <row r="391" spans="17:27" ht="13.8">
      <c r="Q391" s="385">
        <f t="shared" si="5"/>
        <v>385</v>
      </c>
      <c r="R391" s="386" t="s">
        <v>2319</v>
      </c>
      <c r="S391" s="386" t="s">
        <v>2320</v>
      </c>
      <c r="T391" s="387" t="s">
        <v>1186</v>
      </c>
      <c r="U391" s="385" t="s">
        <v>2321</v>
      </c>
      <c r="V391" s="385" t="s">
        <v>3026</v>
      </c>
      <c r="W391" s="386" t="s">
        <v>3026</v>
      </c>
      <c r="X391" s="324" t="s">
        <v>3363</v>
      </c>
      <c r="Y391" s="324" t="s">
        <v>3398</v>
      </c>
      <c r="Z391" s="322" t="s">
        <v>3379</v>
      </c>
      <c r="AA391" s="392">
        <v>5147</v>
      </c>
    </row>
    <row r="392" spans="17:27" ht="13.8">
      <c r="Q392" s="385">
        <f t="shared" si="5"/>
        <v>386</v>
      </c>
      <c r="R392" s="386" t="s">
        <v>2322</v>
      </c>
      <c r="S392" s="386" t="s">
        <v>2323</v>
      </c>
      <c r="T392" s="387" t="s">
        <v>1213</v>
      </c>
      <c r="U392" s="385" t="s">
        <v>2324</v>
      </c>
      <c r="V392" s="385" t="s">
        <v>2323</v>
      </c>
      <c r="W392" s="386" t="s">
        <v>3244</v>
      </c>
      <c r="X392" s="324" t="s">
        <v>3362</v>
      </c>
      <c r="Y392" s="324" t="s">
        <v>3399</v>
      </c>
      <c r="Z392" s="322" t="s">
        <v>3384</v>
      </c>
      <c r="AA392" s="392">
        <v>35885</v>
      </c>
    </row>
    <row r="393" spans="17:27" ht="13.8">
      <c r="Q393" s="385">
        <f t="shared" ref="Q393:Q456" si="6">Q392+1</f>
        <v>387</v>
      </c>
      <c r="R393" s="386" t="s">
        <v>2325</v>
      </c>
      <c r="S393" s="386" t="s">
        <v>2326</v>
      </c>
      <c r="T393" s="387" t="s">
        <v>1186</v>
      </c>
      <c r="U393" s="385" t="s">
        <v>2327</v>
      </c>
      <c r="V393" s="385" t="s">
        <v>2326</v>
      </c>
      <c r="W393" s="386" t="s">
        <v>3245</v>
      </c>
      <c r="X393" s="324" t="s">
        <v>3362</v>
      </c>
      <c r="Y393" s="324" t="s">
        <v>3399</v>
      </c>
      <c r="Z393" s="322" t="s">
        <v>3384</v>
      </c>
      <c r="AA393" s="392">
        <v>13409</v>
      </c>
    </row>
    <row r="394" spans="17:27" ht="13.8">
      <c r="Q394" s="385">
        <f t="shared" si="6"/>
        <v>388</v>
      </c>
      <c r="R394" s="386" t="s">
        <v>2328</v>
      </c>
      <c r="S394" s="386" t="s">
        <v>2329</v>
      </c>
      <c r="T394" s="387" t="s">
        <v>1316</v>
      </c>
      <c r="U394" s="385" t="s">
        <v>2330</v>
      </c>
      <c r="V394" s="385" t="s">
        <v>2329</v>
      </c>
      <c r="W394" s="386" t="s">
        <v>3246</v>
      </c>
      <c r="X394" s="324" t="s">
        <v>3362</v>
      </c>
      <c r="Y394" s="324" t="s">
        <v>3398</v>
      </c>
      <c r="Z394" s="322" t="s">
        <v>3385</v>
      </c>
      <c r="AA394" s="392">
        <v>15540</v>
      </c>
    </row>
    <row r="395" spans="17:27" ht="13.8">
      <c r="Q395" s="385">
        <f t="shared" si="6"/>
        <v>389</v>
      </c>
      <c r="R395" s="386" t="s">
        <v>2331</v>
      </c>
      <c r="S395" s="386" t="s">
        <v>2332</v>
      </c>
      <c r="T395" s="387" t="s">
        <v>1399</v>
      </c>
      <c r="U395" s="385" t="s">
        <v>2333</v>
      </c>
      <c r="V395" s="385" t="s">
        <v>3332</v>
      </c>
      <c r="W395" s="386" t="s">
        <v>3332</v>
      </c>
      <c r="X395" s="324" t="s">
        <v>3364</v>
      </c>
      <c r="Y395" s="324" t="s">
        <v>3398</v>
      </c>
      <c r="Z395" s="322" t="s">
        <v>3387</v>
      </c>
      <c r="AA395" s="392">
        <v>50814</v>
      </c>
    </row>
    <row r="396" spans="17:27" ht="13.8">
      <c r="Q396" s="385">
        <f t="shared" si="6"/>
        <v>390</v>
      </c>
      <c r="R396" s="386" t="s">
        <v>2334</v>
      </c>
      <c r="S396" s="386" t="s">
        <v>2335</v>
      </c>
      <c r="T396" s="387" t="s">
        <v>1190</v>
      </c>
      <c r="U396" s="385" t="s">
        <v>2336</v>
      </c>
      <c r="V396" s="385" t="s">
        <v>3353</v>
      </c>
      <c r="W396" s="386" t="s">
        <v>3353</v>
      </c>
      <c r="X396" s="324" t="s">
        <v>2856</v>
      </c>
      <c r="Y396" s="324" t="s">
        <v>3398</v>
      </c>
      <c r="Z396" s="322" t="s">
        <v>3387</v>
      </c>
      <c r="AA396" s="392">
        <v>14950</v>
      </c>
    </row>
    <row r="397" spans="17:27" ht="13.8">
      <c r="Q397" s="385">
        <f t="shared" si="6"/>
        <v>391</v>
      </c>
      <c r="R397" s="386" t="s">
        <v>2337</v>
      </c>
      <c r="S397" s="386" t="s">
        <v>2338</v>
      </c>
      <c r="T397" s="387" t="s">
        <v>1186</v>
      </c>
      <c r="U397" s="385" t="s">
        <v>2339</v>
      </c>
      <c r="V397" s="385" t="s">
        <v>2338</v>
      </c>
      <c r="W397" s="386" t="s">
        <v>3247</v>
      </c>
      <c r="X397" s="324" t="s">
        <v>3362</v>
      </c>
      <c r="Y397" s="324" t="s">
        <v>3399</v>
      </c>
      <c r="Z397" s="322" t="s">
        <v>3381</v>
      </c>
      <c r="AA397" s="392">
        <v>4016</v>
      </c>
    </row>
    <row r="398" spans="17:27" ht="13.8">
      <c r="Q398" s="385">
        <f t="shared" si="6"/>
        <v>392</v>
      </c>
      <c r="R398" s="386" t="s">
        <v>2340</v>
      </c>
      <c r="S398" s="386" t="s">
        <v>2341</v>
      </c>
      <c r="T398" s="387" t="s">
        <v>1227</v>
      </c>
      <c r="U398" s="385" t="s">
        <v>2342</v>
      </c>
      <c r="V398" s="385" t="s">
        <v>3027</v>
      </c>
      <c r="W398" s="386" t="s">
        <v>3027</v>
      </c>
      <c r="X398" s="324" t="s">
        <v>3363</v>
      </c>
      <c r="Y398" s="324" t="s">
        <v>3398</v>
      </c>
      <c r="Z398" s="322" t="s">
        <v>3379</v>
      </c>
      <c r="AA398" s="392">
        <v>2127</v>
      </c>
    </row>
    <row r="399" spans="17:27" ht="13.8">
      <c r="Q399" s="385">
        <f t="shared" si="6"/>
        <v>393</v>
      </c>
      <c r="R399" s="386" t="s">
        <v>2343</v>
      </c>
      <c r="S399" s="386" t="s">
        <v>2344</v>
      </c>
      <c r="T399" s="387" t="s">
        <v>1213</v>
      </c>
      <c r="U399" s="385" t="s">
        <v>2345</v>
      </c>
      <c r="V399" s="385" t="s">
        <v>3028</v>
      </c>
      <c r="W399" s="386" t="s">
        <v>3028</v>
      </c>
      <c r="X399" s="324" t="s">
        <v>3363</v>
      </c>
      <c r="Y399" s="324" t="s">
        <v>3398</v>
      </c>
      <c r="Z399" s="322" t="s">
        <v>3379</v>
      </c>
      <c r="AA399" s="392">
        <v>10233</v>
      </c>
    </row>
    <row r="400" spans="17:27" ht="13.8">
      <c r="Q400" s="385">
        <f t="shared" si="6"/>
        <v>394</v>
      </c>
      <c r="R400" s="386" t="s">
        <v>2346</v>
      </c>
      <c r="S400" s="386" t="s">
        <v>2347</v>
      </c>
      <c r="T400" s="387" t="s">
        <v>1213</v>
      </c>
      <c r="U400" s="385" t="s">
        <v>2348</v>
      </c>
      <c r="V400" s="385" t="s">
        <v>3029</v>
      </c>
      <c r="W400" s="386" t="s">
        <v>3029</v>
      </c>
      <c r="X400" s="324" t="s">
        <v>3363</v>
      </c>
      <c r="Y400" s="324" t="s">
        <v>3400</v>
      </c>
      <c r="Z400" s="322" t="s">
        <v>3383</v>
      </c>
      <c r="AA400" s="392">
        <v>12</v>
      </c>
    </row>
    <row r="401" spans="17:27" ht="13.8">
      <c r="Q401" s="385">
        <f t="shared" si="6"/>
        <v>395</v>
      </c>
      <c r="R401" s="386" t="s">
        <v>2349</v>
      </c>
      <c r="S401" s="386" t="s">
        <v>2350</v>
      </c>
      <c r="T401" s="387" t="s">
        <v>1399</v>
      </c>
      <c r="U401" s="385" t="s">
        <v>2351</v>
      </c>
      <c r="V401" s="385" t="s">
        <v>2350</v>
      </c>
      <c r="W401" s="386" t="s">
        <v>3248</v>
      </c>
      <c r="X401" s="324" t="s">
        <v>3362</v>
      </c>
      <c r="Y401" s="324" t="s">
        <v>3398</v>
      </c>
      <c r="Z401" s="322" t="s">
        <v>3380</v>
      </c>
      <c r="AA401" s="392">
        <v>56044</v>
      </c>
    </row>
    <row r="402" spans="17:27" ht="13.8">
      <c r="Q402" s="385">
        <f t="shared" si="6"/>
        <v>396</v>
      </c>
      <c r="R402" s="386" t="s">
        <v>2352</v>
      </c>
      <c r="S402" s="386" t="s">
        <v>2353</v>
      </c>
      <c r="T402" s="387" t="s">
        <v>1433</v>
      </c>
      <c r="U402" s="385" t="s">
        <v>2354</v>
      </c>
      <c r="V402" s="385" t="s">
        <v>3030</v>
      </c>
      <c r="W402" s="386" t="s">
        <v>3030</v>
      </c>
      <c r="X402" s="324" t="s">
        <v>3363</v>
      </c>
      <c r="Y402" s="324" t="s">
        <v>3398</v>
      </c>
      <c r="Z402" s="322" t="s">
        <v>3379</v>
      </c>
      <c r="AA402" s="392">
        <v>9011</v>
      </c>
    </row>
    <row r="403" spans="17:27" ht="13.8">
      <c r="Q403" s="385">
        <f t="shared" si="6"/>
        <v>397</v>
      </c>
      <c r="R403" s="386" t="s">
        <v>2355</v>
      </c>
      <c r="S403" s="386" t="s">
        <v>2356</v>
      </c>
      <c r="T403" s="387" t="s">
        <v>1186</v>
      </c>
      <c r="U403" s="385" t="s">
        <v>2357</v>
      </c>
      <c r="V403" s="385" t="s">
        <v>2356</v>
      </c>
      <c r="W403" s="386" t="s">
        <v>3249</v>
      </c>
      <c r="X403" s="324" t="s">
        <v>3362</v>
      </c>
      <c r="Y403" s="324" t="s">
        <v>3399</v>
      </c>
      <c r="Z403" s="322" t="s">
        <v>3384</v>
      </c>
      <c r="AA403" s="392">
        <v>9393</v>
      </c>
    </row>
    <row r="404" spans="17:27" ht="13.8">
      <c r="Q404" s="385">
        <f t="shared" si="6"/>
        <v>398</v>
      </c>
      <c r="R404" s="386" t="s">
        <v>2358</v>
      </c>
      <c r="S404" s="386" t="s">
        <v>2359</v>
      </c>
      <c r="T404" s="387" t="s">
        <v>1274</v>
      </c>
      <c r="U404" s="385" t="s">
        <v>2360</v>
      </c>
      <c r="V404" s="385" t="s">
        <v>3333</v>
      </c>
      <c r="W404" s="386" t="s">
        <v>3333</v>
      </c>
      <c r="X404" s="324" t="s">
        <v>3364</v>
      </c>
      <c r="Y404" s="324" t="s">
        <v>3398</v>
      </c>
      <c r="Z404" s="322" t="s">
        <v>3380</v>
      </c>
      <c r="AA404" s="392">
        <v>49808</v>
      </c>
    </row>
    <row r="405" spans="17:27" ht="13.8">
      <c r="Q405" s="385">
        <f t="shared" si="6"/>
        <v>399</v>
      </c>
      <c r="R405" s="386" t="s">
        <v>2361</v>
      </c>
      <c r="S405" s="386" t="s">
        <v>2362</v>
      </c>
      <c r="T405" s="387" t="s">
        <v>1399</v>
      </c>
      <c r="U405" s="385" t="s">
        <v>2363</v>
      </c>
      <c r="V405" s="385" t="s">
        <v>2362</v>
      </c>
      <c r="W405" s="386" t="s">
        <v>3250</v>
      </c>
      <c r="X405" s="324" t="s">
        <v>3362</v>
      </c>
      <c r="Y405" s="324" t="s">
        <v>3399</v>
      </c>
      <c r="Z405" s="322" t="s">
        <v>3384</v>
      </c>
      <c r="AA405" s="392">
        <v>22999</v>
      </c>
    </row>
    <row r="406" spans="17:27" ht="13.8">
      <c r="Q406" s="385">
        <f t="shared" si="6"/>
        <v>400</v>
      </c>
      <c r="R406" s="386" t="s">
        <v>2364</v>
      </c>
      <c r="S406" s="386" t="s">
        <v>2365</v>
      </c>
      <c r="T406" s="387" t="s">
        <v>1172</v>
      </c>
      <c r="U406" s="385" t="s">
        <v>2366</v>
      </c>
      <c r="V406" s="385" t="s">
        <v>3334</v>
      </c>
      <c r="W406" s="386" t="s">
        <v>3334</v>
      </c>
      <c r="X406" s="324" t="s">
        <v>3364</v>
      </c>
      <c r="Y406" s="324" t="s">
        <v>3398</v>
      </c>
      <c r="Z406" s="322" t="s">
        <v>3380</v>
      </c>
      <c r="AA406" s="392">
        <v>20249</v>
      </c>
    </row>
    <row r="407" spans="17:27" ht="13.8">
      <c r="Q407" s="385">
        <f t="shared" si="6"/>
        <v>401</v>
      </c>
      <c r="R407" s="386" t="s">
        <v>2367</v>
      </c>
      <c r="S407" s="386" t="s">
        <v>2368</v>
      </c>
      <c r="T407" s="387" t="s">
        <v>1227</v>
      </c>
      <c r="U407" s="385" t="s">
        <v>2369</v>
      </c>
      <c r="V407" s="385" t="s">
        <v>2368</v>
      </c>
      <c r="W407" s="386" t="s">
        <v>3251</v>
      </c>
      <c r="X407" s="324" t="s">
        <v>3362</v>
      </c>
      <c r="Y407" s="324" t="s">
        <v>3399</v>
      </c>
      <c r="Z407" s="322" t="s">
        <v>3384</v>
      </c>
      <c r="AA407" s="392">
        <v>8421</v>
      </c>
    </row>
    <row r="408" spans="17:27" ht="13.8">
      <c r="Q408" s="385">
        <f t="shared" si="6"/>
        <v>402</v>
      </c>
      <c r="R408" s="386" t="s">
        <v>2370</v>
      </c>
      <c r="S408" s="386" t="s">
        <v>2371</v>
      </c>
      <c r="T408" s="387" t="s">
        <v>1190</v>
      </c>
      <c r="U408" s="385" t="s">
        <v>2372</v>
      </c>
      <c r="V408" s="385" t="s">
        <v>2371</v>
      </c>
      <c r="W408" s="386" t="s">
        <v>3252</v>
      </c>
      <c r="X408" s="324" t="s">
        <v>3362</v>
      </c>
      <c r="Y408" s="324" t="s">
        <v>3398</v>
      </c>
      <c r="Z408" s="322" t="s">
        <v>3382</v>
      </c>
      <c r="AA408" s="392">
        <v>3339</v>
      </c>
    </row>
    <row r="409" spans="17:27" ht="13.8">
      <c r="Q409" s="385">
        <f t="shared" si="6"/>
        <v>403</v>
      </c>
      <c r="R409" s="386" t="s">
        <v>2373</v>
      </c>
      <c r="S409" s="386" t="s">
        <v>2374</v>
      </c>
      <c r="T409" s="387" t="s">
        <v>1227</v>
      </c>
      <c r="U409" s="385" t="s">
        <v>2375</v>
      </c>
      <c r="V409" s="385" t="s">
        <v>3031</v>
      </c>
      <c r="W409" s="386" t="s">
        <v>3031</v>
      </c>
      <c r="X409" s="324" t="s">
        <v>3363</v>
      </c>
      <c r="Y409" s="324" t="s">
        <v>3398</v>
      </c>
      <c r="Z409" s="322" t="s">
        <v>3379</v>
      </c>
      <c r="AA409" s="392">
        <v>4665</v>
      </c>
    </row>
    <row r="410" spans="17:27" ht="13.8">
      <c r="Q410" s="385">
        <f t="shared" si="6"/>
        <v>404</v>
      </c>
      <c r="R410" s="386" t="s">
        <v>2376</v>
      </c>
      <c r="S410" s="386" t="s">
        <v>2377</v>
      </c>
      <c r="T410" s="387" t="s">
        <v>1227</v>
      </c>
      <c r="U410" s="385" t="s">
        <v>2378</v>
      </c>
      <c r="V410" s="385" t="s">
        <v>3032</v>
      </c>
      <c r="W410" s="386" t="s">
        <v>3032</v>
      </c>
      <c r="X410" s="324" t="s">
        <v>3363</v>
      </c>
      <c r="Y410" s="324" t="s">
        <v>3398</v>
      </c>
      <c r="Z410" s="322" t="s">
        <v>3379</v>
      </c>
      <c r="AA410" s="392">
        <v>18392</v>
      </c>
    </row>
    <row r="411" spans="17:27" ht="13.8">
      <c r="Q411" s="385">
        <f t="shared" si="6"/>
        <v>405</v>
      </c>
      <c r="R411" s="386" t="s">
        <v>2379</v>
      </c>
      <c r="S411" s="386" t="s">
        <v>2380</v>
      </c>
      <c r="T411" s="387" t="s">
        <v>1306</v>
      </c>
      <c r="U411" s="385" t="s">
        <v>2381</v>
      </c>
      <c r="V411" s="385" t="s">
        <v>3033</v>
      </c>
      <c r="W411" s="386" t="s">
        <v>3033</v>
      </c>
      <c r="X411" s="324" t="s">
        <v>3363</v>
      </c>
      <c r="Y411" s="324" t="s">
        <v>3398</v>
      </c>
      <c r="Z411" s="322" t="s">
        <v>3379</v>
      </c>
      <c r="AA411" s="392">
        <v>11097</v>
      </c>
    </row>
    <row r="412" spans="17:27" ht="13.8">
      <c r="Q412" s="385">
        <f t="shared" si="6"/>
        <v>406</v>
      </c>
      <c r="R412" s="386" t="s">
        <v>2382</v>
      </c>
      <c r="S412" s="386" t="s">
        <v>2383</v>
      </c>
      <c r="T412" s="387" t="s">
        <v>1172</v>
      </c>
      <c r="U412" s="385" t="s">
        <v>2384</v>
      </c>
      <c r="V412" s="385" t="s">
        <v>3335</v>
      </c>
      <c r="W412" s="386" t="s">
        <v>3335</v>
      </c>
      <c r="X412" s="324" t="s">
        <v>3364</v>
      </c>
      <c r="Y412" s="324" t="s">
        <v>3398</v>
      </c>
      <c r="Z412" s="322" t="s">
        <v>3380</v>
      </c>
      <c r="AA412" s="392">
        <v>1115</v>
      </c>
    </row>
    <row r="413" spans="17:27" ht="13.8">
      <c r="Q413" s="385">
        <f t="shared" si="6"/>
        <v>407</v>
      </c>
      <c r="R413" s="388" t="s">
        <v>2385</v>
      </c>
      <c r="S413" s="386" t="s">
        <v>2386</v>
      </c>
      <c r="T413" s="387" t="s">
        <v>1539</v>
      </c>
      <c r="U413" s="385" t="s">
        <v>2387</v>
      </c>
      <c r="V413" s="385" t="s">
        <v>2386</v>
      </c>
      <c r="W413" s="386" t="s">
        <v>2386</v>
      </c>
      <c r="X413" s="324" t="s">
        <v>3363</v>
      </c>
      <c r="Y413" s="324" t="s">
        <v>3398</v>
      </c>
      <c r="Z413" s="322" t="e">
        <v>#N/A</v>
      </c>
      <c r="AA413" s="392">
        <v>12307</v>
      </c>
    </row>
    <row r="414" spans="17:27" ht="13.8">
      <c r="Q414" s="385">
        <f t="shared" si="6"/>
        <v>408</v>
      </c>
      <c r="R414" s="386" t="s">
        <v>2388</v>
      </c>
      <c r="S414" s="386" t="s">
        <v>2389</v>
      </c>
      <c r="T414" s="387" t="s">
        <v>1306</v>
      </c>
      <c r="U414" s="385" t="s">
        <v>2390</v>
      </c>
      <c r="V414" s="385" t="s">
        <v>3034</v>
      </c>
      <c r="W414" s="386" t="s">
        <v>3034</v>
      </c>
      <c r="X414" s="324" t="s">
        <v>3363</v>
      </c>
      <c r="Y414" s="324" t="s">
        <v>3398</v>
      </c>
      <c r="Z414" s="322" t="s">
        <v>3379</v>
      </c>
      <c r="AA414" s="392">
        <v>5865</v>
      </c>
    </row>
    <row r="415" spans="17:27" ht="13.8">
      <c r="Q415" s="385">
        <f t="shared" si="6"/>
        <v>409</v>
      </c>
      <c r="R415" s="386" t="s">
        <v>2391</v>
      </c>
      <c r="S415" s="386" t="s">
        <v>2392</v>
      </c>
      <c r="T415" s="387" t="s">
        <v>1186</v>
      </c>
      <c r="U415" s="385" t="s">
        <v>2393</v>
      </c>
      <c r="V415" s="385" t="s">
        <v>2392</v>
      </c>
      <c r="W415" s="386" t="s">
        <v>3253</v>
      </c>
      <c r="X415" s="324" t="s">
        <v>3362</v>
      </c>
      <c r="Y415" s="324" t="s">
        <v>3399</v>
      </c>
      <c r="Z415" s="322" t="s">
        <v>3381</v>
      </c>
      <c r="AA415" s="392">
        <v>2666</v>
      </c>
    </row>
    <row r="416" spans="17:27" ht="13.8">
      <c r="Q416" s="385">
        <f t="shared" si="6"/>
        <v>410</v>
      </c>
      <c r="R416" s="386" t="s">
        <v>2394</v>
      </c>
      <c r="S416" s="386" t="s">
        <v>2395</v>
      </c>
      <c r="T416" s="387" t="s">
        <v>1274</v>
      </c>
      <c r="U416" s="385" t="s">
        <v>2396</v>
      </c>
      <c r="V416" s="385" t="s">
        <v>3336</v>
      </c>
      <c r="W416" s="386" t="s">
        <v>3336</v>
      </c>
      <c r="X416" s="324" t="s">
        <v>3364</v>
      </c>
      <c r="Y416" s="324" t="s">
        <v>3398</v>
      </c>
      <c r="Z416" s="322" t="s">
        <v>3386</v>
      </c>
      <c r="AA416" s="392">
        <v>27346</v>
      </c>
    </row>
    <row r="417" spans="17:27" ht="13.8">
      <c r="Q417" s="385">
        <f t="shared" si="6"/>
        <v>411</v>
      </c>
      <c r="R417" s="386" t="s">
        <v>2397</v>
      </c>
      <c r="S417" s="386" t="s">
        <v>2398</v>
      </c>
      <c r="T417" s="387" t="s">
        <v>1176</v>
      </c>
      <c r="U417" s="385" t="s">
        <v>2399</v>
      </c>
      <c r="V417" s="385" t="s">
        <v>3035</v>
      </c>
      <c r="W417" s="386" t="s">
        <v>3035</v>
      </c>
      <c r="X417" s="324" t="s">
        <v>3363</v>
      </c>
      <c r="Y417" s="324" t="s">
        <v>3398</v>
      </c>
      <c r="Z417" s="322" t="s">
        <v>3379</v>
      </c>
      <c r="AA417" s="392">
        <v>14473</v>
      </c>
    </row>
    <row r="418" spans="17:27" ht="13.8">
      <c r="Q418" s="385">
        <f t="shared" si="6"/>
        <v>412</v>
      </c>
      <c r="R418" s="386" t="s">
        <v>2400</v>
      </c>
      <c r="S418" s="386" t="s">
        <v>2401</v>
      </c>
      <c r="T418" s="387" t="s">
        <v>1316</v>
      </c>
      <c r="U418" s="385" t="s">
        <v>2402</v>
      </c>
      <c r="V418" s="385" t="s">
        <v>2401</v>
      </c>
      <c r="W418" s="386" t="s">
        <v>3254</v>
      </c>
      <c r="X418" s="324" t="s">
        <v>3362</v>
      </c>
      <c r="Y418" s="324" t="s">
        <v>3398</v>
      </c>
      <c r="Z418" s="322" t="s">
        <v>3388</v>
      </c>
      <c r="AA418" s="392">
        <v>25734</v>
      </c>
    </row>
    <row r="419" spans="17:27" ht="13.8">
      <c r="Q419" s="385">
        <f t="shared" si="6"/>
        <v>413</v>
      </c>
      <c r="R419" s="386" t="s">
        <v>2403</v>
      </c>
      <c r="S419" s="386" t="s">
        <v>2404</v>
      </c>
      <c r="T419" s="387" t="s">
        <v>1254</v>
      </c>
      <c r="U419" s="385" t="s">
        <v>2405</v>
      </c>
      <c r="V419" s="385" t="s">
        <v>3036</v>
      </c>
      <c r="W419" s="386" t="s">
        <v>3036</v>
      </c>
      <c r="X419" s="324" t="s">
        <v>3363</v>
      </c>
      <c r="Y419" s="324" t="s">
        <v>3398</v>
      </c>
      <c r="Z419" s="322" t="s">
        <v>3379</v>
      </c>
      <c r="AA419" s="392">
        <v>6881</v>
      </c>
    </row>
    <row r="420" spans="17:27" ht="13.8">
      <c r="Q420" s="385">
        <f t="shared" si="6"/>
        <v>414</v>
      </c>
      <c r="R420" s="386" t="s">
        <v>2406</v>
      </c>
      <c r="S420" s="386" t="s">
        <v>2407</v>
      </c>
      <c r="T420" s="387" t="s">
        <v>1293</v>
      </c>
      <c r="U420" s="385" t="s">
        <v>2408</v>
      </c>
      <c r="V420" s="385" t="s">
        <v>2407</v>
      </c>
      <c r="W420" s="386" t="s">
        <v>3036</v>
      </c>
      <c r="X420" s="324" t="s">
        <v>3362</v>
      </c>
      <c r="Y420" s="324" t="s">
        <v>3399</v>
      </c>
      <c r="Z420" s="322" t="s">
        <v>3384</v>
      </c>
      <c r="AA420" s="392">
        <v>22185</v>
      </c>
    </row>
    <row r="421" spans="17:27" ht="13.8">
      <c r="Q421" s="385">
        <f t="shared" si="6"/>
        <v>415</v>
      </c>
      <c r="R421" s="386" t="s">
        <v>2409</v>
      </c>
      <c r="S421" s="386" t="s">
        <v>2410</v>
      </c>
      <c r="T421" s="387" t="s">
        <v>1293</v>
      </c>
      <c r="U421" s="385" t="s">
        <v>2411</v>
      </c>
      <c r="V421" s="385" t="s">
        <v>2410</v>
      </c>
      <c r="W421" s="386" t="s">
        <v>3255</v>
      </c>
      <c r="X421" s="324" t="s">
        <v>3362</v>
      </c>
      <c r="Y421" s="324" t="s">
        <v>3399</v>
      </c>
      <c r="Z421" s="322" t="s">
        <v>3384</v>
      </c>
      <c r="AA421" s="392">
        <v>16126</v>
      </c>
    </row>
    <row r="422" spans="17:27" ht="13.8">
      <c r="Q422" s="385">
        <f t="shared" si="6"/>
        <v>416</v>
      </c>
      <c r="R422" s="386" t="s">
        <v>2412</v>
      </c>
      <c r="S422" s="386" t="s">
        <v>2413</v>
      </c>
      <c r="T422" s="387" t="s">
        <v>1168</v>
      </c>
      <c r="U422" s="385" t="s">
        <v>2414</v>
      </c>
      <c r="V422" s="385" t="s">
        <v>3037</v>
      </c>
      <c r="W422" s="386" t="s">
        <v>3037</v>
      </c>
      <c r="X422" s="324" t="s">
        <v>3363</v>
      </c>
      <c r="Y422" s="324" t="s">
        <v>3398</v>
      </c>
      <c r="Z422" s="322" t="s">
        <v>3379</v>
      </c>
      <c r="AA422" s="392">
        <v>12206</v>
      </c>
    </row>
    <row r="423" spans="17:27" ht="13.8">
      <c r="Q423" s="385">
        <f t="shared" si="6"/>
        <v>417</v>
      </c>
      <c r="R423" s="386" t="s">
        <v>2415</v>
      </c>
      <c r="S423" s="386" t="s">
        <v>2416</v>
      </c>
      <c r="T423" s="387" t="s">
        <v>1176</v>
      </c>
      <c r="U423" s="385" t="s">
        <v>2417</v>
      </c>
      <c r="V423" s="385" t="s">
        <v>3038</v>
      </c>
      <c r="W423" s="386" t="s">
        <v>3038</v>
      </c>
      <c r="X423" s="324" t="s">
        <v>3363</v>
      </c>
      <c r="Y423" s="324" t="s">
        <v>3398</v>
      </c>
      <c r="Z423" s="322" t="s">
        <v>3379</v>
      </c>
      <c r="AA423" s="392">
        <v>11032</v>
      </c>
    </row>
    <row r="424" spans="17:27" ht="13.8">
      <c r="Q424" s="385">
        <f t="shared" si="6"/>
        <v>418</v>
      </c>
      <c r="R424" s="386" t="s">
        <v>2418</v>
      </c>
      <c r="S424" s="386" t="s">
        <v>2419</v>
      </c>
      <c r="T424" s="387" t="s">
        <v>1176</v>
      </c>
      <c r="U424" s="385" t="s">
        <v>2420</v>
      </c>
      <c r="V424" s="385" t="s">
        <v>2419</v>
      </c>
      <c r="W424" s="386" t="s">
        <v>3367</v>
      </c>
      <c r="X424" s="324" t="s">
        <v>3365</v>
      </c>
      <c r="Y424" s="324" t="s">
        <v>3400</v>
      </c>
      <c r="Z424" s="322" t="s">
        <v>3394</v>
      </c>
      <c r="AA424" s="392">
        <v>12729</v>
      </c>
    </row>
    <row r="425" spans="17:27" ht="13.8">
      <c r="Q425" s="385">
        <f t="shared" si="6"/>
        <v>419</v>
      </c>
      <c r="R425" s="386" t="s">
        <v>2421</v>
      </c>
      <c r="S425" s="386" t="s">
        <v>2422</v>
      </c>
      <c r="T425" s="387" t="s">
        <v>1176</v>
      </c>
      <c r="U425" s="385" t="s">
        <v>2423</v>
      </c>
      <c r="V425" s="385" t="s">
        <v>2422</v>
      </c>
      <c r="W425" s="386" t="s">
        <v>3368</v>
      </c>
      <c r="X425" s="324" t="s">
        <v>3365</v>
      </c>
      <c r="Y425" s="324" t="s">
        <v>3398</v>
      </c>
      <c r="Z425" s="322" t="s">
        <v>3385</v>
      </c>
      <c r="AA425" s="392">
        <v>24958</v>
      </c>
    </row>
    <row r="426" spans="17:27" ht="13.8">
      <c r="Q426" s="385">
        <f t="shared" si="6"/>
        <v>420</v>
      </c>
      <c r="R426" s="386" t="s">
        <v>2424</v>
      </c>
      <c r="S426" s="386" t="s">
        <v>2425</v>
      </c>
      <c r="T426" s="387" t="s">
        <v>1306</v>
      </c>
      <c r="U426" s="385" t="s">
        <v>2426</v>
      </c>
      <c r="V426" s="385" t="s">
        <v>3039</v>
      </c>
      <c r="W426" s="386" t="s">
        <v>3039</v>
      </c>
      <c r="X426" s="324" t="s">
        <v>3363</v>
      </c>
      <c r="Y426" s="324" t="s">
        <v>3398</v>
      </c>
      <c r="Z426" s="322" t="s">
        <v>3388</v>
      </c>
      <c r="AA426" s="392">
        <v>12228</v>
      </c>
    </row>
    <row r="427" spans="17:27" ht="13.8">
      <c r="Q427" s="385">
        <f t="shared" si="6"/>
        <v>421</v>
      </c>
      <c r="R427" s="386" t="s">
        <v>2427</v>
      </c>
      <c r="S427" s="386" t="s">
        <v>2428</v>
      </c>
      <c r="T427" s="387" t="s">
        <v>1176</v>
      </c>
      <c r="U427" s="385" t="s">
        <v>2429</v>
      </c>
      <c r="V427" s="385" t="s">
        <v>3040</v>
      </c>
      <c r="W427" s="386" t="s">
        <v>3040</v>
      </c>
      <c r="X427" s="324" t="s">
        <v>3363</v>
      </c>
      <c r="Y427" s="324" t="s">
        <v>3398</v>
      </c>
      <c r="Z427" s="322" t="s">
        <v>3379</v>
      </c>
      <c r="AA427" s="392">
        <v>11340</v>
      </c>
    </row>
    <row r="428" spans="17:27" ht="13.8">
      <c r="Q428" s="385">
        <f t="shared" si="6"/>
        <v>422</v>
      </c>
      <c r="R428" s="386" t="s">
        <v>2430</v>
      </c>
      <c r="S428" s="386" t="s">
        <v>2431</v>
      </c>
      <c r="T428" s="387" t="s">
        <v>1176</v>
      </c>
      <c r="U428" s="385" t="s">
        <v>2432</v>
      </c>
      <c r="V428" s="385" t="s">
        <v>2431</v>
      </c>
      <c r="W428" s="386" t="s">
        <v>3256</v>
      </c>
      <c r="X428" s="324" t="s">
        <v>3362</v>
      </c>
      <c r="Y428" s="324" t="s">
        <v>3398</v>
      </c>
      <c r="Z428" s="322" t="s">
        <v>3387</v>
      </c>
      <c r="AA428" s="392">
        <v>9659</v>
      </c>
    </row>
    <row r="429" spans="17:27" ht="13.8">
      <c r="Q429" s="385">
        <f t="shared" si="6"/>
        <v>423</v>
      </c>
      <c r="R429" s="386" t="s">
        <v>2433</v>
      </c>
      <c r="S429" s="386" t="s">
        <v>2434</v>
      </c>
      <c r="T429" s="387" t="s">
        <v>1316</v>
      </c>
      <c r="U429" s="385" t="s">
        <v>2435</v>
      </c>
      <c r="V429" s="385" t="s">
        <v>3041</v>
      </c>
      <c r="W429" s="386" t="s">
        <v>3041</v>
      </c>
      <c r="X429" s="324" t="s">
        <v>3363</v>
      </c>
      <c r="Y429" s="324" t="s">
        <v>3398</v>
      </c>
      <c r="Z429" s="322" t="s">
        <v>3379</v>
      </c>
      <c r="AA429" s="392">
        <v>3559</v>
      </c>
    </row>
    <row r="430" spans="17:27" ht="13.8">
      <c r="Q430" s="385">
        <f t="shared" si="6"/>
        <v>424</v>
      </c>
      <c r="R430" s="386" t="s">
        <v>2436</v>
      </c>
      <c r="S430" s="386" t="s">
        <v>2437</v>
      </c>
      <c r="T430" s="387" t="s">
        <v>1237</v>
      </c>
      <c r="U430" s="385" t="s">
        <v>2438</v>
      </c>
      <c r="V430" s="385" t="s">
        <v>2437</v>
      </c>
      <c r="W430" s="386" t="s">
        <v>3257</v>
      </c>
      <c r="X430" s="324" t="s">
        <v>3362</v>
      </c>
      <c r="Y430" s="324" t="s">
        <v>3399</v>
      </c>
      <c r="Z430" s="322" t="s">
        <v>3384</v>
      </c>
      <c r="AA430" s="392">
        <v>8079</v>
      </c>
    </row>
    <row r="431" spans="17:27" ht="13.8">
      <c r="Q431" s="385">
        <f t="shared" si="6"/>
        <v>425</v>
      </c>
      <c r="R431" s="386" t="s">
        <v>2439</v>
      </c>
      <c r="S431" s="386" t="s">
        <v>2440</v>
      </c>
      <c r="T431" s="387" t="s">
        <v>1237</v>
      </c>
      <c r="U431" s="385" t="s">
        <v>2441</v>
      </c>
      <c r="V431" s="385" t="s">
        <v>3042</v>
      </c>
      <c r="W431" s="386" t="s">
        <v>3042</v>
      </c>
      <c r="X431" s="324" t="s">
        <v>3363</v>
      </c>
      <c r="Y431" s="324" t="s">
        <v>3398</v>
      </c>
      <c r="Z431" s="322" t="s">
        <v>3379</v>
      </c>
      <c r="AA431" s="392">
        <v>2779</v>
      </c>
    </row>
    <row r="432" spans="17:27" ht="13.8">
      <c r="Q432" s="385">
        <f t="shared" si="6"/>
        <v>426</v>
      </c>
      <c r="R432" s="386" t="s">
        <v>2442</v>
      </c>
      <c r="S432" s="386" t="s">
        <v>2443</v>
      </c>
      <c r="T432" s="387" t="s">
        <v>1539</v>
      </c>
      <c r="U432" s="385" t="s">
        <v>2444</v>
      </c>
      <c r="V432" s="385" t="s">
        <v>2443</v>
      </c>
      <c r="W432" s="386" t="s">
        <v>3258</v>
      </c>
      <c r="X432" s="324" t="s">
        <v>3362</v>
      </c>
      <c r="Y432" s="324" t="s">
        <v>3398</v>
      </c>
      <c r="Z432" s="322" t="s">
        <v>3387</v>
      </c>
      <c r="AA432" s="392">
        <v>13642</v>
      </c>
    </row>
    <row r="433" spans="17:27" ht="13.8">
      <c r="Q433" s="385">
        <f t="shared" si="6"/>
        <v>427</v>
      </c>
      <c r="R433" s="386" t="s">
        <v>2445</v>
      </c>
      <c r="S433" s="386" t="s">
        <v>2446</v>
      </c>
      <c r="T433" s="387" t="s">
        <v>1176</v>
      </c>
      <c r="U433" s="385" t="s">
        <v>2447</v>
      </c>
      <c r="V433" s="385" t="s">
        <v>2446</v>
      </c>
      <c r="W433" s="386" t="s">
        <v>3259</v>
      </c>
      <c r="X433" s="324" t="s">
        <v>3362</v>
      </c>
      <c r="Y433" s="324" t="s">
        <v>3399</v>
      </c>
      <c r="Z433" s="322" t="s">
        <v>3384</v>
      </c>
      <c r="AA433" s="392">
        <v>5530</v>
      </c>
    </row>
    <row r="434" spans="17:27" ht="13.8">
      <c r="Q434" s="385">
        <f t="shared" si="6"/>
        <v>428</v>
      </c>
      <c r="R434" s="386" t="s">
        <v>2448</v>
      </c>
      <c r="S434" s="386" t="s">
        <v>2449</v>
      </c>
      <c r="T434" s="387" t="s">
        <v>1316</v>
      </c>
      <c r="U434" s="385" t="s">
        <v>2450</v>
      </c>
      <c r="V434" s="385" t="s">
        <v>3043</v>
      </c>
      <c r="W434" s="386" t="s">
        <v>3043</v>
      </c>
      <c r="X434" s="324" t="s">
        <v>3363</v>
      </c>
      <c r="Y434" s="324" t="s">
        <v>3398</v>
      </c>
      <c r="Z434" s="322" t="s">
        <v>3379</v>
      </c>
      <c r="AA434" s="392">
        <v>6438</v>
      </c>
    </row>
    <row r="435" spans="17:27" ht="13.8">
      <c r="Q435" s="385">
        <f t="shared" si="6"/>
        <v>429</v>
      </c>
      <c r="R435" s="386" t="s">
        <v>2451</v>
      </c>
      <c r="S435" s="386" t="s">
        <v>2452</v>
      </c>
      <c r="T435" s="387" t="s">
        <v>1316</v>
      </c>
      <c r="U435" s="385" t="s">
        <v>2453</v>
      </c>
      <c r="V435" s="385" t="s">
        <v>2452</v>
      </c>
      <c r="W435" s="386" t="s">
        <v>3043</v>
      </c>
      <c r="X435" s="324" t="s">
        <v>3362</v>
      </c>
      <c r="Y435" s="324" t="s">
        <v>3398</v>
      </c>
      <c r="Z435" s="322" t="s">
        <v>3386</v>
      </c>
      <c r="AA435" s="392">
        <v>24156</v>
      </c>
    </row>
    <row r="436" spans="17:27" ht="13.8">
      <c r="Q436" s="385">
        <f t="shared" si="6"/>
        <v>430</v>
      </c>
      <c r="R436" s="386" t="s">
        <v>2454</v>
      </c>
      <c r="S436" s="386" t="s">
        <v>2455</v>
      </c>
      <c r="T436" s="387" t="s">
        <v>1176</v>
      </c>
      <c r="U436" s="385" t="s">
        <v>2456</v>
      </c>
      <c r="V436" s="385" t="s">
        <v>3044</v>
      </c>
      <c r="W436" s="386" t="s">
        <v>3044</v>
      </c>
      <c r="X436" s="324" t="s">
        <v>3363</v>
      </c>
      <c r="Y436" s="324" t="s">
        <v>3398</v>
      </c>
      <c r="Z436" s="322" t="s">
        <v>3379</v>
      </c>
      <c r="AA436" s="392">
        <v>531</v>
      </c>
    </row>
    <row r="437" spans="17:27" ht="13.8">
      <c r="Q437" s="385">
        <f t="shared" si="6"/>
        <v>431</v>
      </c>
      <c r="R437" s="386" t="s">
        <v>2457</v>
      </c>
      <c r="S437" s="386" t="s">
        <v>2458</v>
      </c>
      <c r="T437" s="387" t="s">
        <v>1254</v>
      </c>
      <c r="U437" s="385" t="s">
        <v>2459</v>
      </c>
      <c r="V437" s="385" t="s">
        <v>3045</v>
      </c>
      <c r="W437" s="386" t="s">
        <v>3045</v>
      </c>
      <c r="X437" s="324" t="s">
        <v>3363</v>
      </c>
      <c r="Y437" s="324" t="s">
        <v>3398</v>
      </c>
      <c r="Z437" s="322" t="s">
        <v>3379</v>
      </c>
      <c r="AA437" s="392">
        <v>682</v>
      </c>
    </row>
    <row r="438" spans="17:27" ht="13.8">
      <c r="Q438" s="385">
        <f t="shared" si="6"/>
        <v>432</v>
      </c>
      <c r="R438" s="386" t="s">
        <v>2460</v>
      </c>
      <c r="S438" s="386" t="s">
        <v>2461</v>
      </c>
      <c r="T438" s="387" t="s">
        <v>1168</v>
      </c>
      <c r="U438" s="385" t="s">
        <v>2462</v>
      </c>
      <c r="V438" s="385" t="s">
        <v>3046</v>
      </c>
      <c r="W438" s="386" t="s">
        <v>3046</v>
      </c>
      <c r="X438" s="324" t="s">
        <v>3363</v>
      </c>
      <c r="Y438" s="324" t="s">
        <v>3398</v>
      </c>
      <c r="Z438" s="322" t="s">
        <v>3379</v>
      </c>
      <c r="AA438" s="392">
        <v>882</v>
      </c>
    </row>
    <row r="439" spans="17:27" ht="13.8">
      <c r="Q439" s="385">
        <f t="shared" si="6"/>
        <v>433</v>
      </c>
      <c r="R439" s="386" t="s">
        <v>2463</v>
      </c>
      <c r="S439" s="386" t="s">
        <v>2464</v>
      </c>
      <c r="T439" s="387" t="s">
        <v>1258</v>
      </c>
      <c r="U439" s="385" t="s">
        <v>2465</v>
      </c>
      <c r="V439" s="385" t="s">
        <v>3047</v>
      </c>
      <c r="W439" s="386" t="s">
        <v>3047</v>
      </c>
      <c r="X439" s="324" t="s">
        <v>3363</v>
      </c>
      <c r="Y439" s="324" t="s">
        <v>3398</v>
      </c>
      <c r="Z439" s="322" t="s">
        <v>3379</v>
      </c>
      <c r="AA439" s="392">
        <v>5819</v>
      </c>
    </row>
    <row r="440" spans="17:27" ht="13.8">
      <c r="Q440" s="385">
        <f t="shared" si="6"/>
        <v>434</v>
      </c>
      <c r="R440" s="386" t="s">
        <v>2466</v>
      </c>
      <c r="S440" s="386" t="s">
        <v>2467</v>
      </c>
      <c r="T440" s="387" t="s">
        <v>1274</v>
      </c>
      <c r="U440" s="385" t="s">
        <v>2468</v>
      </c>
      <c r="V440" s="385" t="s">
        <v>3048</v>
      </c>
      <c r="W440" s="386" t="s">
        <v>3048</v>
      </c>
      <c r="X440" s="324" t="s">
        <v>3363</v>
      </c>
      <c r="Y440" s="324" t="s">
        <v>3398</v>
      </c>
      <c r="Z440" s="322" t="s">
        <v>3379</v>
      </c>
      <c r="AA440" s="392">
        <v>21085</v>
      </c>
    </row>
    <row r="441" spans="17:27" ht="13.8">
      <c r="Q441" s="385">
        <f t="shared" si="6"/>
        <v>435</v>
      </c>
      <c r="R441" s="386" t="s">
        <v>2469</v>
      </c>
      <c r="S441" s="386" t="s">
        <v>2470</v>
      </c>
      <c r="T441" s="387" t="s">
        <v>1274</v>
      </c>
      <c r="U441" s="385" t="s">
        <v>2471</v>
      </c>
      <c r="V441" s="385" t="s">
        <v>3049</v>
      </c>
      <c r="W441" s="386" t="s">
        <v>3049</v>
      </c>
      <c r="X441" s="324" t="s">
        <v>3363</v>
      </c>
      <c r="Y441" s="324" t="s">
        <v>3398</v>
      </c>
      <c r="Z441" s="322" t="s">
        <v>3379</v>
      </c>
      <c r="AA441" s="392">
        <v>13297</v>
      </c>
    </row>
    <row r="442" spans="17:27" ht="13.8">
      <c r="Q442" s="385">
        <f t="shared" si="6"/>
        <v>436</v>
      </c>
      <c r="R442" s="386" t="s">
        <v>2472</v>
      </c>
      <c r="S442" s="386" t="s">
        <v>2473</v>
      </c>
      <c r="T442" s="387" t="s">
        <v>1316</v>
      </c>
      <c r="U442" s="385" t="s">
        <v>2474</v>
      </c>
      <c r="V442" s="385" t="s">
        <v>2473</v>
      </c>
      <c r="W442" s="386" t="s">
        <v>3260</v>
      </c>
      <c r="X442" s="324" t="s">
        <v>3362</v>
      </c>
      <c r="Y442" s="324" t="s">
        <v>3398</v>
      </c>
      <c r="Z442" s="322" t="s">
        <v>3388</v>
      </c>
      <c r="AA442" s="392">
        <v>23324</v>
      </c>
    </row>
    <row r="443" spans="17:27" ht="13.8">
      <c r="Q443" s="385">
        <f t="shared" si="6"/>
        <v>437</v>
      </c>
      <c r="R443" s="386" t="s">
        <v>2475</v>
      </c>
      <c r="S443" s="386" t="s">
        <v>2476</v>
      </c>
      <c r="T443" s="387" t="s">
        <v>1168</v>
      </c>
      <c r="U443" s="385" t="s">
        <v>2477</v>
      </c>
      <c r="V443" s="385" t="s">
        <v>3050</v>
      </c>
      <c r="W443" s="386" t="s">
        <v>3050</v>
      </c>
      <c r="X443" s="324" t="s">
        <v>3363</v>
      </c>
      <c r="Y443" s="324" t="s">
        <v>3398</v>
      </c>
      <c r="Z443" s="322" t="s">
        <v>3379</v>
      </c>
      <c r="AA443" s="392">
        <v>7122</v>
      </c>
    </row>
    <row r="444" spans="17:27" ht="13.8">
      <c r="Q444" s="385">
        <f t="shared" si="6"/>
        <v>438</v>
      </c>
      <c r="R444" s="386" t="s">
        <v>2478</v>
      </c>
      <c r="S444" s="386" t="s">
        <v>2479</v>
      </c>
      <c r="T444" s="387" t="s">
        <v>1213</v>
      </c>
      <c r="U444" s="385" t="s">
        <v>2480</v>
      </c>
      <c r="V444" s="385" t="s">
        <v>3051</v>
      </c>
      <c r="W444" s="386" t="s">
        <v>3051</v>
      </c>
      <c r="X444" s="324" t="s">
        <v>3363</v>
      </c>
      <c r="Y444" s="324" t="s">
        <v>3398</v>
      </c>
      <c r="Z444" s="322" t="s">
        <v>3379</v>
      </c>
      <c r="AA444" s="392">
        <v>8468</v>
      </c>
    </row>
    <row r="445" spans="17:27" ht="13.8">
      <c r="Q445" s="385">
        <f t="shared" si="6"/>
        <v>439</v>
      </c>
      <c r="R445" s="386" t="s">
        <v>2481</v>
      </c>
      <c r="S445" s="386" t="s">
        <v>2482</v>
      </c>
      <c r="T445" s="387" t="s">
        <v>1176</v>
      </c>
      <c r="U445" s="385" t="s">
        <v>2483</v>
      </c>
      <c r="V445" s="385" t="s">
        <v>3052</v>
      </c>
      <c r="W445" s="386" t="s">
        <v>3052</v>
      </c>
      <c r="X445" s="324" t="s">
        <v>3363</v>
      </c>
      <c r="Y445" s="324" t="s">
        <v>3398</v>
      </c>
      <c r="Z445" s="322" t="s">
        <v>3379</v>
      </c>
      <c r="AA445" s="392">
        <v>18061</v>
      </c>
    </row>
    <row r="446" spans="17:27" ht="13.8">
      <c r="Q446" s="385">
        <f t="shared" si="6"/>
        <v>440</v>
      </c>
      <c r="R446" s="386" t="s">
        <v>2484</v>
      </c>
      <c r="S446" s="386" t="s">
        <v>2485</v>
      </c>
      <c r="T446" s="387" t="s">
        <v>1176</v>
      </c>
      <c r="U446" s="385" t="s">
        <v>2486</v>
      </c>
      <c r="V446" s="385" t="s">
        <v>2485</v>
      </c>
      <c r="W446" s="386" t="s">
        <v>3261</v>
      </c>
      <c r="X446" s="324" t="s">
        <v>3362</v>
      </c>
      <c r="Y446" s="324" t="s">
        <v>3398</v>
      </c>
      <c r="Z446" s="322" t="s">
        <v>3387</v>
      </c>
      <c r="AA446" s="392">
        <v>13659</v>
      </c>
    </row>
    <row r="447" spans="17:27" ht="13.8">
      <c r="Q447" s="385">
        <f t="shared" si="6"/>
        <v>441</v>
      </c>
      <c r="R447" s="386" t="s">
        <v>2487</v>
      </c>
      <c r="S447" s="386" t="s">
        <v>2488</v>
      </c>
      <c r="T447" s="387" t="s">
        <v>1176</v>
      </c>
      <c r="U447" s="385" t="s">
        <v>2489</v>
      </c>
      <c r="V447" s="385" t="s">
        <v>3053</v>
      </c>
      <c r="W447" s="386" t="s">
        <v>3053</v>
      </c>
      <c r="X447" s="324" t="s">
        <v>3363</v>
      </c>
      <c r="Y447" s="324" t="s">
        <v>3398</v>
      </c>
      <c r="Z447" s="322" t="s">
        <v>3379</v>
      </c>
      <c r="AA447" s="392">
        <v>3152</v>
      </c>
    </row>
    <row r="448" spans="17:27" ht="13.8">
      <c r="Q448" s="385">
        <f t="shared" si="6"/>
        <v>442</v>
      </c>
      <c r="R448" s="386" t="s">
        <v>2490</v>
      </c>
      <c r="S448" s="386" t="s">
        <v>2491</v>
      </c>
      <c r="T448" s="387" t="s">
        <v>1186</v>
      </c>
      <c r="U448" s="385" t="s">
        <v>2492</v>
      </c>
      <c r="V448" s="385" t="s">
        <v>1186</v>
      </c>
      <c r="W448" s="386" t="s">
        <v>1186</v>
      </c>
      <c r="X448" s="324" t="s">
        <v>3364</v>
      </c>
      <c r="Y448" s="324" t="s">
        <v>3398</v>
      </c>
      <c r="Z448" s="322" t="s">
        <v>3392</v>
      </c>
      <c r="AA448" s="392">
        <v>5146</v>
      </c>
    </row>
    <row r="449" spans="17:27" ht="13.8">
      <c r="Q449" s="385">
        <f t="shared" si="6"/>
        <v>443</v>
      </c>
      <c r="R449" s="386" t="s">
        <v>2493</v>
      </c>
      <c r="S449" s="386" t="s">
        <v>2494</v>
      </c>
      <c r="T449" s="387" t="s">
        <v>1197</v>
      </c>
      <c r="U449" s="385" t="s">
        <v>2495</v>
      </c>
      <c r="V449" s="385" t="s">
        <v>2494</v>
      </c>
      <c r="W449" s="386" t="s">
        <v>3262</v>
      </c>
      <c r="X449" s="324" t="s">
        <v>3362</v>
      </c>
      <c r="Y449" s="324" t="s">
        <v>3399</v>
      </c>
      <c r="Z449" s="322" t="s">
        <v>3381</v>
      </c>
      <c r="AA449" s="392">
        <v>1998</v>
      </c>
    </row>
    <row r="450" spans="17:27" ht="13.8">
      <c r="Q450" s="385">
        <f t="shared" si="6"/>
        <v>444</v>
      </c>
      <c r="R450" s="386" t="s">
        <v>2496</v>
      </c>
      <c r="S450" s="386" t="s">
        <v>2497</v>
      </c>
      <c r="T450" s="387" t="s">
        <v>1399</v>
      </c>
      <c r="U450" s="385" t="s">
        <v>2498</v>
      </c>
      <c r="V450" s="385" t="s">
        <v>3054</v>
      </c>
      <c r="W450" s="386" t="s">
        <v>3054</v>
      </c>
      <c r="X450" s="324" t="s">
        <v>3363</v>
      </c>
      <c r="Y450" s="324" t="s">
        <v>3398</v>
      </c>
      <c r="Z450" s="322" t="s">
        <v>3379</v>
      </c>
      <c r="AA450" s="392">
        <v>42704</v>
      </c>
    </row>
    <row r="451" spans="17:27" ht="13.8">
      <c r="Q451" s="385">
        <f t="shared" si="6"/>
        <v>445</v>
      </c>
      <c r="R451" s="386" t="s">
        <v>2499</v>
      </c>
      <c r="S451" s="386" t="s">
        <v>2500</v>
      </c>
      <c r="T451" s="387" t="s">
        <v>1274</v>
      </c>
      <c r="U451" s="385" t="s">
        <v>2501</v>
      </c>
      <c r="V451" s="385" t="s">
        <v>2500</v>
      </c>
      <c r="W451" s="386" t="s">
        <v>3263</v>
      </c>
      <c r="X451" s="324" t="s">
        <v>3362</v>
      </c>
      <c r="Y451" s="324" t="s">
        <v>3398</v>
      </c>
      <c r="Z451" s="322" t="s">
        <v>3382</v>
      </c>
      <c r="AA451" s="392">
        <v>23510</v>
      </c>
    </row>
    <row r="452" spans="17:27" ht="13.8">
      <c r="Q452" s="385">
        <f t="shared" si="6"/>
        <v>446</v>
      </c>
      <c r="R452" s="386" t="s">
        <v>2502</v>
      </c>
      <c r="S452" s="386" t="s">
        <v>2503</v>
      </c>
      <c r="T452" s="387" t="s">
        <v>1168</v>
      </c>
      <c r="U452" s="385" t="s">
        <v>2504</v>
      </c>
      <c r="V452" s="385" t="s">
        <v>3055</v>
      </c>
      <c r="W452" s="386" t="s">
        <v>3055</v>
      </c>
      <c r="X452" s="324" t="s">
        <v>3363</v>
      </c>
      <c r="Y452" s="324" t="s">
        <v>3398</v>
      </c>
      <c r="Z452" s="322" t="s">
        <v>3379</v>
      </c>
      <c r="AA452" s="392">
        <v>1412</v>
      </c>
    </row>
    <row r="453" spans="17:27" ht="13.8">
      <c r="Q453" s="385">
        <f t="shared" si="6"/>
        <v>447</v>
      </c>
      <c r="R453" s="386" t="s">
        <v>2505</v>
      </c>
      <c r="S453" s="386" t="s">
        <v>2506</v>
      </c>
      <c r="T453" s="387" t="s">
        <v>1168</v>
      </c>
      <c r="U453" s="385" t="s">
        <v>2507</v>
      </c>
      <c r="V453" s="385" t="s">
        <v>3056</v>
      </c>
      <c r="W453" s="386" t="s">
        <v>3056</v>
      </c>
      <c r="X453" s="324" t="s">
        <v>3363</v>
      </c>
      <c r="Y453" s="324" t="s">
        <v>3398</v>
      </c>
      <c r="Z453" s="322" t="s">
        <v>3379</v>
      </c>
      <c r="AA453" s="392">
        <v>1828</v>
      </c>
    </row>
    <row r="454" spans="17:27" ht="13.8">
      <c r="Q454" s="385">
        <f t="shared" si="6"/>
        <v>448</v>
      </c>
      <c r="R454" s="386" t="s">
        <v>2508</v>
      </c>
      <c r="S454" s="386" t="s">
        <v>2509</v>
      </c>
      <c r="T454" s="387" t="s">
        <v>1220</v>
      </c>
      <c r="U454" s="385" t="s">
        <v>2510</v>
      </c>
      <c r="V454" s="385" t="s">
        <v>2509</v>
      </c>
      <c r="W454" s="386" t="s">
        <v>2509</v>
      </c>
      <c r="X454" s="324" t="s">
        <v>3364</v>
      </c>
      <c r="Y454" s="324" t="s">
        <v>3398</v>
      </c>
      <c r="Z454" s="322" t="s">
        <v>3387</v>
      </c>
      <c r="AA454" s="392">
        <v>2114</v>
      </c>
    </row>
    <row r="455" spans="17:27" ht="13.8">
      <c r="Q455" s="385">
        <f t="shared" si="6"/>
        <v>449</v>
      </c>
      <c r="R455" s="386" t="s">
        <v>2511</v>
      </c>
      <c r="S455" s="386" t="s">
        <v>2512</v>
      </c>
      <c r="T455" s="387" t="s">
        <v>1227</v>
      </c>
      <c r="U455" s="385" t="s">
        <v>2513</v>
      </c>
      <c r="V455" s="385" t="s">
        <v>3057</v>
      </c>
      <c r="W455" s="386" t="s">
        <v>3057</v>
      </c>
      <c r="X455" s="324" t="s">
        <v>3363</v>
      </c>
      <c r="Y455" s="324" t="s">
        <v>3398</v>
      </c>
      <c r="Z455" s="322" t="s">
        <v>3379</v>
      </c>
      <c r="AA455" s="392">
        <v>2887</v>
      </c>
    </row>
    <row r="456" spans="17:27" ht="13.8">
      <c r="Q456" s="385">
        <f t="shared" si="6"/>
        <v>450</v>
      </c>
      <c r="R456" s="386" t="s">
        <v>2514</v>
      </c>
      <c r="S456" s="386" t="s">
        <v>2515</v>
      </c>
      <c r="T456" s="387" t="s">
        <v>1227</v>
      </c>
      <c r="U456" s="385" t="s">
        <v>2516</v>
      </c>
      <c r="V456" s="385" t="s">
        <v>3058</v>
      </c>
      <c r="W456" s="386" t="s">
        <v>3058</v>
      </c>
      <c r="X456" s="324" t="s">
        <v>3363</v>
      </c>
      <c r="Y456" s="324" t="s">
        <v>3398</v>
      </c>
      <c r="Z456" s="322" t="s">
        <v>3379</v>
      </c>
      <c r="AA456" s="392">
        <v>1579</v>
      </c>
    </row>
    <row r="457" spans="17:27" ht="13.8">
      <c r="Q457" s="385">
        <f t="shared" ref="Q457:Q520" si="7">Q456+1</f>
        <v>451</v>
      </c>
      <c r="R457" s="386" t="s">
        <v>2517</v>
      </c>
      <c r="S457" s="386" t="s">
        <v>2518</v>
      </c>
      <c r="T457" s="387" t="s">
        <v>1244</v>
      </c>
      <c r="U457" s="385" t="s">
        <v>2519</v>
      </c>
      <c r="V457" s="385" t="s">
        <v>3354</v>
      </c>
      <c r="W457" s="386" t="s">
        <v>3354</v>
      </c>
      <c r="X457" s="324" t="s">
        <v>2856</v>
      </c>
      <c r="Y457" s="324" t="s">
        <v>3398</v>
      </c>
      <c r="Z457" s="322" t="s">
        <v>3379</v>
      </c>
      <c r="AA457" s="392">
        <v>16264</v>
      </c>
    </row>
    <row r="458" spans="17:27" ht="13.8">
      <c r="Q458" s="385">
        <f t="shared" si="7"/>
        <v>452</v>
      </c>
      <c r="R458" s="386" t="s">
        <v>2520</v>
      </c>
      <c r="S458" s="386" t="s">
        <v>2521</v>
      </c>
      <c r="T458" s="387" t="s">
        <v>1237</v>
      </c>
      <c r="U458" s="385" t="s">
        <v>2522</v>
      </c>
      <c r="V458" s="385" t="s">
        <v>2521</v>
      </c>
      <c r="W458" s="386" t="s">
        <v>3264</v>
      </c>
      <c r="X458" s="324" t="s">
        <v>3362</v>
      </c>
      <c r="Y458" s="324" t="s">
        <v>3399</v>
      </c>
      <c r="Z458" s="322" t="s">
        <v>3384</v>
      </c>
      <c r="AA458" s="392">
        <v>6490</v>
      </c>
    </row>
    <row r="459" spans="17:27" ht="13.8">
      <c r="Q459" s="385">
        <f t="shared" si="7"/>
        <v>453</v>
      </c>
      <c r="R459" s="386" t="s">
        <v>2523</v>
      </c>
      <c r="S459" s="386" t="s">
        <v>2524</v>
      </c>
      <c r="T459" s="387" t="s">
        <v>1344</v>
      </c>
      <c r="U459" s="385" t="s">
        <v>2525</v>
      </c>
      <c r="V459" s="385" t="s">
        <v>3059</v>
      </c>
      <c r="W459" s="386" t="s">
        <v>3059</v>
      </c>
      <c r="X459" s="324" t="s">
        <v>3363</v>
      </c>
      <c r="Y459" s="324" t="s">
        <v>3398</v>
      </c>
      <c r="Z459" s="322" t="s">
        <v>3379</v>
      </c>
      <c r="AA459" s="392">
        <v>516</v>
      </c>
    </row>
    <row r="460" spans="17:27" ht="13.8">
      <c r="Q460" s="385">
        <f t="shared" si="7"/>
        <v>454</v>
      </c>
      <c r="R460" s="386" t="s">
        <v>2526</v>
      </c>
      <c r="S460" s="386" t="s">
        <v>2527</v>
      </c>
      <c r="T460" s="387" t="s">
        <v>1227</v>
      </c>
      <c r="U460" s="385" t="s">
        <v>2528</v>
      </c>
      <c r="V460" s="385" t="s">
        <v>3060</v>
      </c>
      <c r="W460" s="386" t="s">
        <v>3060</v>
      </c>
      <c r="X460" s="324" t="s">
        <v>3363</v>
      </c>
      <c r="Y460" s="324" t="s">
        <v>3398</v>
      </c>
      <c r="Z460" s="322" t="s">
        <v>3379</v>
      </c>
      <c r="AA460" s="392">
        <v>1156</v>
      </c>
    </row>
    <row r="461" spans="17:27" ht="13.8">
      <c r="Q461" s="385">
        <f t="shared" si="7"/>
        <v>455</v>
      </c>
      <c r="R461" s="386" t="s">
        <v>2529</v>
      </c>
      <c r="S461" s="386" t="s">
        <v>2530</v>
      </c>
      <c r="T461" s="387" t="s">
        <v>1168</v>
      </c>
      <c r="U461" s="385" t="s">
        <v>2531</v>
      </c>
      <c r="V461" s="385" t="s">
        <v>3061</v>
      </c>
      <c r="W461" s="386" t="s">
        <v>3061</v>
      </c>
      <c r="X461" s="324" t="s">
        <v>3363</v>
      </c>
      <c r="Y461" s="324" t="s">
        <v>3398</v>
      </c>
      <c r="Z461" s="322" t="s">
        <v>3379</v>
      </c>
      <c r="AA461" s="392">
        <v>3809</v>
      </c>
    </row>
    <row r="462" spans="17:27" ht="13.8">
      <c r="Q462" s="385">
        <f t="shared" si="7"/>
        <v>456</v>
      </c>
      <c r="R462" s="386" t="s">
        <v>2532</v>
      </c>
      <c r="S462" s="386" t="s">
        <v>2533</v>
      </c>
      <c r="T462" s="387" t="s">
        <v>1168</v>
      </c>
      <c r="U462" s="385" t="s">
        <v>2534</v>
      </c>
      <c r="V462" s="385" t="s">
        <v>2533</v>
      </c>
      <c r="W462" s="386" t="s">
        <v>3061</v>
      </c>
      <c r="X462" s="324" t="s">
        <v>3362</v>
      </c>
      <c r="Y462" s="324" t="s">
        <v>3399</v>
      </c>
      <c r="Z462" s="322" t="s">
        <v>3381</v>
      </c>
      <c r="AA462" s="392">
        <v>1141</v>
      </c>
    </row>
    <row r="463" spans="17:27" ht="13.8">
      <c r="Q463" s="385">
        <f t="shared" si="7"/>
        <v>457</v>
      </c>
      <c r="R463" s="386" t="s">
        <v>2535</v>
      </c>
      <c r="S463" s="386" t="s">
        <v>2536</v>
      </c>
      <c r="T463" s="387" t="s">
        <v>1213</v>
      </c>
      <c r="U463" s="385" t="s">
        <v>2537</v>
      </c>
      <c r="V463" s="385" t="s">
        <v>3062</v>
      </c>
      <c r="W463" s="386" t="s">
        <v>3062</v>
      </c>
      <c r="X463" s="324" t="s">
        <v>3363</v>
      </c>
      <c r="Y463" s="324" t="s">
        <v>3398</v>
      </c>
      <c r="Z463" s="322" t="s">
        <v>3379</v>
      </c>
      <c r="AA463" s="392">
        <v>5151</v>
      </c>
    </row>
    <row r="464" spans="17:27" ht="13.8">
      <c r="Q464" s="385">
        <f t="shared" si="7"/>
        <v>458</v>
      </c>
      <c r="R464" s="386" t="s">
        <v>2538</v>
      </c>
      <c r="S464" s="386" t="s">
        <v>2539</v>
      </c>
      <c r="T464" s="387" t="s">
        <v>1172</v>
      </c>
      <c r="U464" s="385" t="s">
        <v>2540</v>
      </c>
      <c r="V464" s="385" t="s">
        <v>3337</v>
      </c>
      <c r="W464" s="386" t="s">
        <v>3337</v>
      </c>
      <c r="X464" s="324" t="s">
        <v>3364</v>
      </c>
      <c r="Y464" s="324" t="s">
        <v>3398</v>
      </c>
      <c r="Z464" s="322" t="s">
        <v>3380</v>
      </c>
      <c r="AA464" s="392">
        <v>10795</v>
      </c>
    </row>
    <row r="465" spans="17:27" ht="13.8">
      <c r="Q465" s="385">
        <f t="shared" si="7"/>
        <v>459</v>
      </c>
      <c r="R465" s="386" t="s">
        <v>2541</v>
      </c>
      <c r="S465" s="386" t="s">
        <v>2542</v>
      </c>
      <c r="T465" s="387" t="s">
        <v>1254</v>
      </c>
      <c r="U465" s="385" t="s">
        <v>2543</v>
      </c>
      <c r="V465" s="385" t="s">
        <v>3063</v>
      </c>
      <c r="W465" s="386" t="s">
        <v>3063</v>
      </c>
      <c r="X465" s="324" t="s">
        <v>3363</v>
      </c>
      <c r="Y465" s="324" t="s">
        <v>3398</v>
      </c>
      <c r="Z465" s="322" t="s">
        <v>3379</v>
      </c>
      <c r="AA465" s="392">
        <v>12098</v>
      </c>
    </row>
    <row r="466" spans="17:27" ht="13.8">
      <c r="Q466" s="385">
        <f t="shared" si="7"/>
        <v>460</v>
      </c>
      <c r="R466" s="386" t="s">
        <v>2544</v>
      </c>
      <c r="S466" s="386" t="s">
        <v>2545</v>
      </c>
      <c r="T466" s="387" t="s">
        <v>1399</v>
      </c>
      <c r="U466" s="385" t="s">
        <v>2546</v>
      </c>
      <c r="V466" s="385" t="s">
        <v>3338</v>
      </c>
      <c r="W466" s="386" t="s">
        <v>3338</v>
      </c>
      <c r="X466" s="324" t="s">
        <v>3364</v>
      </c>
      <c r="Y466" s="324" t="s">
        <v>3398</v>
      </c>
      <c r="Z466" s="322" t="s">
        <v>3387</v>
      </c>
      <c r="AA466" s="392">
        <v>8631</v>
      </c>
    </row>
    <row r="467" spans="17:27" ht="13.8">
      <c r="Q467" s="385">
        <f t="shared" si="7"/>
        <v>461</v>
      </c>
      <c r="R467" s="386" t="s">
        <v>2547</v>
      </c>
      <c r="S467" s="386" t="s">
        <v>2548</v>
      </c>
      <c r="T467" s="387" t="s">
        <v>1254</v>
      </c>
      <c r="U467" s="385" t="s">
        <v>2549</v>
      </c>
      <c r="V467" s="385" t="s">
        <v>3064</v>
      </c>
      <c r="W467" s="386" t="s">
        <v>3064</v>
      </c>
      <c r="X467" s="324" t="s">
        <v>3363</v>
      </c>
      <c r="Y467" s="324" t="s">
        <v>3398</v>
      </c>
      <c r="Z467" s="322" t="s">
        <v>3379</v>
      </c>
      <c r="AA467" s="392">
        <v>4563</v>
      </c>
    </row>
    <row r="468" spans="17:27" ht="13.8">
      <c r="Q468" s="385">
        <f t="shared" si="7"/>
        <v>462</v>
      </c>
      <c r="R468" s="386" t="s">
        <v>2550</v>
      </c>
      <c r="S468" s="386" t="s">
        <v>2551</v>
      </c>
      <c r="T468" s="387" t="s">
        <v>1399</v>
      </c>
      <c r="U468" s="385" t="s">
        <v>2552</v>
      </c>
      <c r="V468" s="385" t="s">
        <v>2551</v>
      </c>
      <c r="W468" s="386" t="s">
        <v>3265</v>
      </c>
      <c r="X468" s="324" t="s">
        <v>3362</v>
      </c>
      <c r="Y468" s="324" t="s">
        <v>3398</v>
      </c>
      <c r="Z468" s="322" t="s">
        <v>3382</v>
      </c>
      <c r="AA468" s="392">
        <v>43417</v>
      </c>
    </row>
    <row r="469" spans="17:27" ht="13.8">
      <c r="Q469" s="385">
        <f t="shared" si="7"/>
        <v>463</v>
      </c>
      <c r="R469" s="386" t="s">
        <v>2553</v>
      </c>
      <c r="S469" s="386" t="s">
        <v>2554</v>
      </c>
      <c r="T469" s="387" t="s">
        <v>1176</v>
      </c>
      <c r="U469" s="385" t="s">
        <v>2555</v>
      </c>
      <c r="V469" s="385" t="s">
        <v>2554</v>
      </c>
      <c r="W469" s="386" t="s">
        <v>3266</v>
      </c>
      <c r="X469" s="324" t="s">
        <v>3362</v>
      </c>
      <c r="Y469" s="324" t="s">
        <v>3399</v>
      </c>
      <c r="Z469" s="322" t="s">
        <v>3384</v>
      </c>
      <c r="AA469" s="392">
        <v>2378</v>
      </c>
    </row>
    <row r="470" spans="17:27" ht="13.8">
      <c r="Q470" s="385">
        <f t="shared" si="7"/>
        <v>464</v>
      </c>
      <c r="R470" s="386" t="s">
        <v>2556</v>
      </c>
      <c r="S470" s="386" t="s">
        <v>2557</v>
      </c>
      <c r="T470" s="387" t="s">
        <v>1433</v>
      </c>
      <c r="U470" s="385" t="s">
        <v>2558</v>
      </c>
      <c r="V470" s="385" t="s">
        <v>2557</v>
      </c>
      <c r="W470" s="386" t="s">
        <v>3267</v>
      </c>
      <c r="X470" s="324" t="s">
        <v>3362</v>
      </c>
      <c r="Y470" s="324" t="s">
        <v>3399</v>
      </c>
      <c r="Z470" s="322" t="s">
        <v>3384</v>
      </c>
      <c r="AA470" s="392">
        <v>3162</v>
      </c>
    </row>
    <row r="471" spans="17:27" ht="13.8">
      <c r="Q471" s="385">
        <f t="shared" si="7"/>
        <v>465</v>
      </c>
      <c r="R471" s="386" t="s">
        <v>2559</v>
      </c>
      <c r="S471" s="386" t="s">
        <v>2560</v>
      </c>
      <c r="T471" s="387" t="s">
        <v>1258</v>
      </c>
      <c r="U471" s="385" t="s">
        <v>2561</v>
      </c>
      <c r="V471" s="385" t="s">
        <v>2560</v>
      </c>
      <c r="W471" s="386" t="s">
        <v>2560</v>
      </c>
      <c r="X471" s="324" t="s">
        <v>3362</v>
      </c>
      <c r="Y471" s="324" t="s">
        <v>3402</v>
      </c>
      <c r="Z471" s="322" t="s">
        <v>3396</v>
      </c>
      <c r="AA471" s="392">
        <v>16198</v>
      </c>
    </row>
    <row r="472" spans="17:27" ht="13.8">
      <c r="Q472" s="385">
        <f t="shared" si="7"/>
        <v>466</v>
      </c>
      <c r="R472" s="386" t="s">
        <v>2562</v>
      </c>
      <c r="S472" s="386" t="s">
        <v>2563</v>
      </c>
      <c r="T472" s="387" t="s">
        <v>1399</v>
      </c>
      <c r="U472" s="385" t="s">
        <v>2564</v>
      </c>
      <c r="V472" s="385" t="s">
        <v>3065</v>
      </c>
      <c r="W472" s="386" t="s">
        <v>3065</v>
      </c>
      <c r="X472" s="324" t="s">
        <v>3363</v>
      </c>
      <c r="Y472" s="324" t="s">
        <v>3398</v>
      </c>
      <c r="Z472" s="322" t="s">
        <v>3379</v>
      </c>
      <c r="AA472" s="392">
        <v>23385</v>
      </c>
    </row>
    <row r="473" spans="17:27" ht="13.8">
      <c r="Q473" s="385">
        <f t="shared" si="7"/>
        <v>467</v>
      </c>
      <c r="R473" s="386" t="s">
        <v>2565</v>
      </c>
      <c r="S473" s="386" t="s">
        <v>2566</v>
      </c>
      <c r="T473" s="387" t="s">
        <v>1399</v>
      </c>
      <c r="U473" s="385" t="s">
        <v>2567</v>
      </c>
      <c r="V473" s="385" t="s">
        <v>3066</v>
      </c>
      <c r="W473" s="386" t="s">
        <v>3066</v>
      </c>
      <c r="X473" s="324" t="s">
        <v>3363</v>
      </c>
      <c r="Y473" s="324" t="s">
        <v>3398</v>
      </c>
      <c r="Z473" s="322" t="s">
        <v>3379</v>
      </c>
      <c r="AA473" s="392">
        <v>16008</v>
      </c>
    </row>
    <row r="474" spans="17:27" ht="13.8">
      <c r="Q474" s="385">
        <f t="shared" si="7"/>
        <v>468</v>
      </c>
      <c r="R474" s="386" t="s">
        <v>2568</v>
      </c>
      <c r="S474" s="386" t="s">
        <v>2569</v>
      </c>
      <c r="T474" s="387" t="s">
        <v>1227</v>
      </c>
      <c r="U474" s="385" t="s">
        <v>2570</v>
      </c>
      <c r="V474" s="385" t="s">
        <v>3067</v>
      </c>
      <c r="W474" s="386" t="s">
        <v>3067</v>
      </c>
      <c r="X474" s="324" t="s">
        <v>3363</v>
      </c>
      <c r="Y474" s="324" t="s">
        <v>3398</v>
      </c>
      <c r="Z474" s="322" t="s">
        <v>3379</v>
      </c>
      <c r="AA474" s="392">
        <v>3684</v>
      </c>
    </row>
    <row r="475" spans="17:27" ht="13.8">
      <c r="Q475" s="385">
        <f t="shared" si="7"/>
        <v>469</v>
      </c>
      <c r="R475" s="386" t="s">
        <v>2571</v>
      </c>
      <c r="S475" s="386" t="s">
        <v>2572</v>
      </c>
      <c r="T475" s="387" t="s">
        <v>1237</v>
      </c>
      <c r="U475" s="385" t="s">
        <v>2573</v>
      </c>
      <c r="V475" s="385" t="s">
        <v>2572</v>
      </c>
      <c r="W475" s="386" t="s">
        <v>3268</v>
      </c>
      <c r="X475" s="324" t="s">
        <v>3362</v>
      </c>
      <c r="Y475" s="324" t="s">
        <v>3399</v>
      </c>
      <c r="Z475" s="322" t="s">
        <v>3384</v>
      </c>
      <c r="AA475" s="392">
        <v>10464</v>
      </c>
    </row>
    <row r="476" spans="17:27" ht="13.8">
      <c r="Q476" s="385">
        <f t="shared" si="7"/>
        <v>470</v>
      </c>
      <c r="R476" s="386" t="s">
        <v>2574</v>
      </c>
      <c r="S476" s="386" t="s">
        <v>2575</v>
      </c>
      <c r="T476" s="387" t="s">
        <v>1197</v>
      </c>
      <c r="U476" s="385" t="s">
        <v>2576</v>
      </c>
      <c r="V476" s="385" t="s">
        <v>2575</v>
      </c>
      <c r="W476" s="386" t="s">
        <v>3269</v>
      </c>
      <c r="X476" s="324" t="s">
        <v>3362</v>
      </c>
      <c r="Y476" s="324" t="s">
        <v>3398</v>
      </c>
      <c r="Z476" s="322" t="s">
        <v>3385</v>
      </c>
      <c r="AA476" s="392">
        <v>19722</v>
      </c>
    </row>
    <row r="477" spans="17:27" ht="13.8">
      <c r="Q477" s="385">
        <f t="shared" si="7"/>
        <v>471</v>
      </c>
      <c r="R477" s="386" t="s">
        <v>2577</v>
      </c>
      <c r="S477" s="386" t="s">
        <v>2578</v>
      </c>
      <c r="T477" s="387" t="s">
        <v>1399</v>
      </c>
      <c r="U477" s="385" t="s">
        <v>2579</v>
      </c>
      <c r="V477" s="385" t="s">
        <v>3068</v>
      </c>
      <c r="W477" s="386" t="s">
        <v>3068</v>
      </c>
      <c r="X477" s="324" t="s">
        <v>3363</v>
      </c>
      <c r="Y477" s="324" t="s">
        <v>3398</v>
      </c>
      <c r="Z477" s="322" t="s">
        <v>3387</v>
      </c>
      <c r="AA477" s="392">
        <v>8257</v>
      </c>
    </row>
    <row r="478" spans="17:27" ht="13.8">
      <c r="Q478" s="385">
        <f t="shared" si="7"/>
        <v>472</v>
      </c>
      <c r="R478" s="386" t="s">
        <v>2580</v>
      </c>
      <c r="S478" s="386" t="s">
        <v>2581</v>
      </c>
      <c r="T478" s="387" t="s">
        <v>1168</v>
      </c>
      <c r="U478" s="385" t="s">
        <v>2582</v>
      </c>
      <c r="V478" s="385" t="s">
        <v>3069</v>
      </c>
      <c r="W478" s="386" t="s">
        <v>3069</v>
      </c>
      <c r="X478" s="324" t="s">
        <v>3363</v>
      </c>
      <c r="Y478" s="324" t="s">
        <v>3398</v>
      </c>
      <c r="Z478" s="322" t="s">
        <v>3379</v>
      </c>
      <c r="AA478" s="392">
        <v>2993</v>
      </c>
    </row>
    <row r="479" spans="17:27" ht="13.8">
      <c r="Q479" s="385">
        <f t="shared" si="7"/>
        <v>473</v>
      </c>
      <c r="R479" s="386" t="s">
        <v>2583</v>
      </c>
      <c r="S479" s="386" t="s">
        <v>2584</v>
      </c>
      <c r="T479" s="387" t="s">
        <v>1168</v>
      </c>
      <c r="U479" s="385" t="s">
        <v>2585</v>
      </c>
      <c r="V479" s="385" t="s">
        <v>3070</v>
      </c>
      <c r="W479" s="386" t="s">
        <v>3070</v>
      </c>
      <c r="X479" s="324" t="s">
        <v>3363</v>
      </c>
      <c r="Y479" s="324" t="s">
        <v>3398</v>
      </c>
      <c r="Z479" s="322" t="s">
        <v>3379</v>
      </c>
      <c r="AA479" s="392">
        <v>4713</v>
      </c>
    </row>
    <row r="480" spans="17:27" ht="13.8">
      <c r="Q480" s="385">
        <f t="shared" si="7"/>
        <v>474</v>
      </c>
      <c r="R480" s="386" t="s">
        <v>2586</v>
      </c>
      <c r="S480" s="386" t="s">
        <v>2587</v>
      </c>
      <c r="T480" s="387" t="s">
        <v>1237</v>
      </c>
      <c r="U480" s="385" t="s">
        <v>2588</v>
      </c>
      <c r="V480" s="385" t="s">
        <v>2587</v>
      </c>
      <c r="W480" s="386" t="s">
        <v>3270</v>
      </c>
      <c r="X480" s="324" t="s">
        <v>3362</v>
      </c>
      <c r="Y480" s="324" t="s">
        <v>3398</v>
      </c>
      <c r="Z480" s="322" t="s">
        <v>3385</v>
      </c>
      <c r="AA480" s="392">
        <v>3414</v>
      </c>
    </row>
    <row r="481" spans="17:27" ht="13.8">
      <c r="Q481" s="385">
        <f t="shared" si="7"/>
        <v>475</v>
      </c>
      <c r="R481" s="386" t="s">
        <v>2589</v>
      </c>
      <c r="S481" s="386" t="s">
        <v>2587</v>
      </c>
      <c r="T481" s="387" t="s">
        <v>1274</v>
      </c>
      <c r="U481" s="385" t="s">
        <v>2590</v>
      </c>
      <c r="V481" s="385" t="s">
        <v>2587</v>
      </c>
      <c r="W481" s="386" t="s">
        <v>3270</v>
      </c>
      <c r="X481" s="324" t="s">
        <v>3362</v>
      </c>
      <c r="Y481" s="324" t="s">
        <v>3399</v>
      </c>
      <c r="Z481" s="322" t="s">
        <v>3384</v>
      </c>
      <c r="AA481" s="392">
        <v>15817</v>
      </c>
    </row>
    <row r="482" spans="17:27" ht="13.8">
      <c r="Q482" s="385">
        <f t="shared" si="7"/>
        <v>476</v>
      </c>
      <c r="R482" s="386" t="s">
        <v>2591</v>
      </c>
      <c r="S482" s="386" t="s">
        <v>2592</v>
      </c>
      <c r="T482" s="387" t="s">
        <v>1227</v>
      </c>
      <c r="U482" s="385" t="s">
        <v>2593</v>
      </c>
      <c r="V482" s="385" t="s">
        <v>2592</v>
      </c>
      <c r="W482" s="386" t="s">
        <v>3271</v>
      </c>
      <c r="X482" s="324" t="s">
        <v>3362</v>
      </c>
      <c r="Y482" s="324" t="s">
        <v>3398</v>
      </c>
      <c r="Z482" s="322" t="s">
        <v>3379</v>
      </c>
      <c r="AA482" s="392">
        <v>26535</v>
      </c>
    </row>
    <row r="483" spans="17:27" ht="13.8">
      <c r="Q483" s="385">
        <f t="shared" si="7"/>
        <v>477</v>
      </c>
      <c r="R483" s="386" t="s">
        <v>2594</v>
      </c>
      <c r="S483" s="386" t="s">
        <v>2595</v>
      </c>
      <c r="T483" s="387" t="s">
        <v>1197</v>
      </c>
      <c r="U483" s="385" t="s">
        <v>2596</v>
      </c>
      <c r="V483" s="385" t="s">
        <v>3071</v>
      </c>
      <c r="W483" s="386" t="s">
        <v>3071</v>
      </c>
      <c r="X483" s="324" t="s">
        <v>3363</v>
      </c>
      <c r="Y483" s="324" t="s">
        <v>3398</v>
      </c>
      <c r="Z483" s="322" t="s">
        <v>3379</v>
      </c>
      <c r="AA483" s="392">
        <v>3610</v>
      </c>
    </row>
    <row r="484" spans="17:27" ht="13.8">
      <c r="Q484" s="385">
        <f t="shared" si="7"/>
        <v>478</v>
      </c>
      <c r="R484" s="386" t="s">
        <v>2597</v>
      </c>
      <c r="S484" s="386" t="s">
        <v>2598</v>
      </c>
      <c r="T484" s="387" t="s">
        <v>1197</v>
      </c>
      <c r="U484" s="385" t="s">
        <v>2599</v>
      </c>
      <c r="V484" s="385" t="s">
        <v>2598</v>
      </c>
      <c r="W484" s="386" t="s">
        <v>3272</v>
      </c>
      <c r="X484" s="324" t="s">
        <v>3362</v>
      </c>
      <c r="Y484" s="324" t="s">
        <v>3399</v>
      </c>
      <c r="Z484" s="322" t="s">
        <v>3384</v>
      </c>
      <c r="AA484" s="392">
        <v>4099</v>
      </c>
    </row>
    <row r="485" spans="17:27" ht="13.8">
      <c r="Q485" s="385">
        <f t="shared" si="7"/>
        <v>479</v>
      </c>
      <c r="R485" s="386" t="s">
        <v>2600</v>
      </c>
      <c r="S485" s="386" t="s">
        <v>2601</v>
      </c>
      <c r="T485" s="387" t="s">
        <v>1293</v>
      </c>
      <c r="U485" s="385" t="s">
        <v>2602</v>
      </c>
      <c r="V485" s="385" t="s">
        <v>3072</v>
      </c>
      <c r="W485" s="386" t="s">
        <v>3072</v>
      </c>
      <c r="X485" s="324" t="s">
        <v>3363</v>
      </c>
      <c r="Y485" s="324" t="s">
        <v>3398</v>
      </c>
      <c r="Z485" s="322" t="s">
        <v>3379</v>
      </c>
      <c r="AA485" s="392">
        <v>538</v>
      </c>
    </row>
    <row r="486" spans="17:27" ht="13.8">
      <c r="Q486" s="385">
        <f t="shared" si="7"/>
        <v>480</v>
      </c>
      <c r="R486" s="386" t="s">
        <v>2603</v>
      </c>
      <c r="S486" s="386" t="s">
        <v>2604</v>
      </c>
      <c r="T486" s="387" t="s">
        <v>1220</v>
      </c>
      <c r="U486" s="385" t="s">
        <v>2605</v>
      </c>
      <c r="V486" s="385" t="s">
        <v>3073</v>
      </c>
      <c r="W486" s="386" t="s">
        <v>3073</v>
      </c>
      <c r="X486" s="324" t="s">
        <v>3363</v>
      </c>
      <c r="Y486" s="324" t="s">
        <v>3398</v>
      </c>
      <c r="Z486" s="322" t="s">
        <v>3379</v>
      </c>
      <c r="AA486" s="392">
        <v>866</v>
      </c>
    </row>
    <row r="487" spans="17:27" ht="13.8">
      <c r="Q487" s="385">
        <f t="shared" si="7"/>
        <v>481</v>
      </c>
      <c r="R487" s="386" t="s">
        <v>2606</v>
      </c>
      <c r="S487" s="386" t="s">
        <v>2607</v>
      </c>
      <c r="T487" s="387" t="s">
        <v>1344</v>
      </c>
      <c r="U487" s="385" t="s">
        <v>2608</v>
      </c>
      <c r="V487" s="385" t="s">
        <v>2607</v>
      </c>
      <c r="W487" s="386" t="s">
        <v>3273</v>
      </c>
      <c r="X487" s="324" t="s">
        <v>3362</v>
      </c>
      <c r="Y487" s="324" t="s">
        <v>3399</v>
      </c>
      <c r="Z487" s="322" t="s">
        <v>3381</v>
      </c>
      <c r="AA487" s="392">
        <v>1431</v>
      </c>
    </row>
    <row r="488" spans="17:27" ht="13.8">
      <c r="Q488" s="385">
        <f t="shared" si="7"/>
        <v>482</v>
      </c>
      <c r="R488" s="386" t="s">
        <v>2609</v>
      </c>
      <c r="S488" s="386" t="s">
        <v>2610</v>
      </c>
      <c r="T488" s="387" t="s">
        <v>1213</v>
      </c>
      <c r="U488" s="385" t="s">
        <v>2611</v>
      </c>
      <c r="V488" s="385" t="s">
        <v>3074</v>
      </c>
      <c r="W488" s="386" t="s">
        <v>3074</v>
      </c>
      <c r="X488" s="324" t="s">
        <v>3363</v>
      </c>
      <c r="Y488" s="324" t="s">
        <v>3398</v>
      </c>
      <c r="Z488" s="322" t="s">
        <v>3379</v>
      </c>
      <c r="AA488" s="392">
        <v>7040</v>
      </c>
    </row>
    <row r="489" spans="17:27" ht="13.8">
      <c r="Q489" s="385">
        <f t="shared" si="7"/>
        <v>483</v>
      </c>
      <c r="R489" s="386" t="s">
        <v>2612</v>
      </c>
      <c r="S489" s="386" t="s">
        <v>2613</v>
      </c>
      <c r="T489" s="387" t="s">
        <v>1274</v>
      </c>
      <c r="U489" s="385" t="s">
        <v>2614</v>
      </c>
      <c r="V489" s="385" t="s">
        <v>3339</v>
      </c>
      <c r="W489" s="386" t="s">
        <v>3339</v>
      </c>
      <c r="X489" s="324" t="s">
        <v>3364</v>
      </c>
      <c r="Y489" s="324" t="s">
        <v>3398</v>
      </c>
      <c r="Z489" s="322" t="s">
        <v>3380</v>
      </c>
      <c r="AA489" s="392">
        <v>21457</v>
      </c>
    </row>
    <row r="490" spans="17:27" ht="13.8">
      <c r="Q490" s="385">
        <f t="shared" si="7"/>
        <v>484</v>
      </c>
      <c r="R490" s="386" t="s">
        <v>2615</v>
      </c>
      <c r="S490" s="386" t="s">
        <v>2616</v>
      </c>
      <c r="T490" s="387" t="s">
        <v>1227</v>
      </c>
      <c r="U490" s="385" t="s">
        <v>2617</v>
      </c>
      <c r="V490" s="385" t="s">
        <v>3075</v>
      </c>
      <c r="W490" s="386" t="s">
        <v>3340</v>
      </c>
      <c r="X490" s="324" t="s">
        <v>3363</v>
      </c>
      <c r="Y490" s="324" t="s">
        <v>3398</v>
      </c>
      <c r="Z490" s="322" t="s">
        <v>3379</v>
      </c>
      <c r="AA490" s="392">
        <v>1205</v>
      </c>
    </row>
    <row r="491" spans="17:27" ht="13.8">
      <c r="Q491" s="385">
        <f t="shared" si="7"/>
        <v>485</v>
      </c>
      <c r="R491" s="386" t="s">
        <v>2618</v>
      </c>
      <c r="S491" s="386" t="s">
        <v>2619</v>
      </c>
      <c r="T491" s="387" t="s">
        <v>1197</v>
      </c>
      <c r="U491" s="385" t="s">
        <v>2620</v>
      </c>
      <c r="V491" s="385" t="s">
        <v>1197</v>
      </c>
      <c r="W491" s="386" t="s">
        <v>1197</v>
      </c>
      <c r="X491" s="324" t="s">
        <v>3363</v>
      </c>
      <c r="Y491" s="324" t="s">
        <v>3398</v>
      </c>
      <c r="Z491" s="322" t="s">
        <v>3379</v>
      </c>
      <c r="AA491" s="392">
        <v>2130</v>
      </c>
    </row>
    <row r="492" spans="17:27" ht="13.8">
      <c r="Q492" s="385">
        <f t="shared" si="7"/>
        <v>486</v>
      </c>
      <c r="R492" s="386" t="s">
        <v>2621</v>
      </c>
      <c r="S492" s="386" t="s">
        <v>2622</v>
      </c>
      <c r="T492" s="387" t="s">
        <v>1433</v>
      </c>
      <c r="U492" s="385" t="s">
        <v>2623</v>
      </c>
      <c r="V492" s="385" t="s">
        <v>3076</v>
      </c>
      <c r="W492" s="386" t="s">
        <v>3076</v>
      </c>
      <c r="X492" s="324" t="s">
        <v>3363</v>
      </c>
      <c r="Y492" s="324" t="s">
        <v>3398</v>
      </c>
      <c r="Z492" s="322" t="s">
        <v>3379</v>
      </c>
      <c r="AA492" s="392">
        <v>2584</v>
      </c>
    </row>
    <row r="493" spans="17:27" ht="13.8">
      <c r="Q493" s="385">
        <f t="shared" si="7"/>
        <v>487</v>
      </c>
      <c r="R493" s="386" t="s">
        <v>2624</v>
      </c>
      <c r="S493" s="386" t="s">
        <v>2625</v>
      </c>
      <c r="T493" s="387" t="s">
        <v>1237</v>
      </c>
      <c r="U493" s="385" t="s">
        <v>2626</v>
      </c>
      <c r="V493" s="385" t="s">
        <v>2625</v>
      </c>
      <c r="W493" s="386" t="s">
        <v>3274</v>
      </c>
      <c r="X493" s="324" t="s">
        <v>3362</v>
      </c>
      <c r="Y493" s="324" t="s">
        <v>3399</v>
      </c>
      <c r="Z493" s="322" t="s">
        <v>3384</v>
      </c>
      <c r="AA493" s="392">
        <v>6949</v>
      </c>
    </row>
    <row r="494" spans="17:27" ht="13.8">
      <c r="Q494" s="385">
        <f t="shared" si="7"/>
        <v>488</v>
      </c>
      <c r="R494" s="386" t="s">
        <v>2627</v>
      </c>
      <c r="S494" s="386" t="s">
        <v>2628</v>
      </c>
      <c r="T494" s="387" t="s">
        <v>1213</v>
      </c>
      <c r="U494" s="385" t="s">
        <v>2629</v>
      </c>
      <c r="V494" s="385" t="s">
        <v>3077</v>
      </c>
      <c r="W494" s="386" t="s">
        <v>3077</v>
      </c>
      <c r="X494" s="324" t="s">
        <v>3363</v>
      </c>
      <c r="Y494" s="324" t="s">
        <v>3400</v>
      </c>
      <c r="Z494" s="322" t="s">
        <v>3383</v>
      </c>
      <c r="AA494" s="392">
        <v>5</v>
      </c>
    </row>
    <row r="495" spans="17:27" ht="13.8">
      <c r="Q495" s="385">
        <f t="shared" si="7"/>
        <v>489</v>
      </c>
      <c r="R495" s="386" t="s">
        <v>2630</v>
      </c>
      <c r="S495" s="386" t="s">
        <v>2631</v>
      </c>
      <c r="T495" s="387" t="s">
        <v>1176</v>
      </c>
      <c r="U495" s="385" t="s">
        <v>2632</v>
      </c>
      <c r="V495" s="385" t="s">
        <v>2631</v>
      </c>
      <c r="W495" s="386" t="s">
        <v>3275</v>
      </c>
      <c r="X495" s="324" t="s">
        <v>3362</v>
      </c>
      <c r="Y495" s="324" t="s">
        <v>3398</v>
      </c>
      <c r="Z495" s="322" t="s">
        <v>3388</v>
      </c>
      <c r="AA495" s="392">
        <v>39776</v>
      </c>
    </row>
    <row r="496" spans="17:27" ht="13.8">
      <c r="Q496" s="385">
        <f t="shared" si="7"/>
        <v>490</v>
      </c>
      <c r="R496" s="386" t="s">
        <v>2633</v>
      </c>
      <c r="S496" s="386" t="s">
        <v>2634</v>
      </c>
      <c r="T496" s="387" t="s">
        <v>1176</v>
      </c>
      <c r="U496" s="385" t="s">
        <v>2635</v>
      </c>
      <c r="V496" s="385" t="s">
        <v>3078</v>
      </c>
      <c r="W496" s="386" t="s">
        <v>3078</v>
      </c>
      <c r="X496" s="324" t="s">
        <v>3363</v>
      </c>
      <c r="Y496" s="324" t="s">
        <v>3398</v>
      </c>
      <c r="Z496" s="322" t="s">
        <v>3379</v>
      </c>
      <c r="AA496" s="392">
        <v>14488</v>
      </c>
    </row>
    <row r="497" spans="17:27" ht="13.8">
      <c r="Q497" s="385">
        <f t="shared" si="7"/>
        <v>491</v>
      </c>
      <c r="R497" s="386" t="s">
        <v>2636</v>
      </c>
      <c r="S497" s="386" t="s">
        <v>2637</v>
      </c>
      <c r="T497" s="387" t="s">
        <v>1176</v>
      </c>
      <c r="U497" s="385" t="s">
        <v>2638</v>
      </c>
      <c r="V497" s="385" t="s">
        <v>3079</v>
      </c>
      <c r="W497" s="386" t="s">
        <v>3079</v>
      </c>
      <c r="X497" s="324" t="s">
        <v>3363</v>
      </c>
      <c r="Y497" s="324" t="s">
        <v>3398</v>
      </c>
      <c r="Z497" s="322" t="s">
        <v>3385</v>
      </c>
      <c r="AA497" s="392">
        <v>67</v>
      </c>
    </row>
    <row r="498" spans="17:27" ht="13.8">
      <c r="Q498" s="385">
        <f t="shared" si="7"/>
        <v>492</v>
      </c>
      <c r="R498" s="386" t="s">
        <v>2639</v>
      </c>
      <c r="S498" s="386" t="s">
        <v>2640</v>
      </c>
      <c r="T498" s="387" t="s">
        <v>1293</v>
      </c>
      <c r="U498" s="385" t="s">
        <v>2641</v>
      </c>
      <c r="V498" s="385" t="s">
        <v>2640</v>
      </c>
      <c r="W498" s="386" t="s">
        <v>3276</v>
      </c>
      <c r="X498" s="324" t="s">
        <v>3362</v>
      </c>
      <c r="Y498" s="324" t="s">
        <v>3399</v>
      </c>
      <c r="Z498" s="322" t="s">
        <v>3384</v>
      </c>
      <c r="AA498" s="392">
        <v>5993</v>
      </c>
    </row>
    <row r="499" spans="17:27" ht="13.8">
      <c r="Q499" s="385">
        <f t="shared" si="7"/>
        <v>493</v>
      </c>
      <c r="R499" s="386" t="s">
        <v>2642</v>
      </c>
      <c r="S499" s="386" t="s">
        <v>2643</v>
      </c>
      <c r="T499" s="387" t="s">
        <v>1168</v>
      </c>
      <c r="U499" s="385" t="s">
        <v>2644</v>
      </c>
      <c r="V499" s="385" t="s">
        <v>3080</v>
      </c>
      <c r="W499" s="386" t="s">
        <v>3080</v>
      </c>
      <c r="X499" s="324" t="s">
        <v>3363</v>
      </c>
      <c r="Y499" s="324" t="s">
        <v>3398</v>
      </c>
      <c r="Z499" s="322" t="s">
        <v>3387</v>
      </c>
      <c r="AA499" s="392">
        <v>17892</v>
      </c>
    </row>
    <row r="500" spans="17:27" ht="13.8">
      <c r="Q500" s="385">
        <f t="shared" si="7"/>
        <v>494</v>
      </c>
      <c r="R500" s="386" t="s">
        <v>2645</v>
      </c>
      <c r="S500" s="386" t="s">
        <v>2646</v>
      </c>
      <c r="T500" s="387" t="s">
        <v>1227</v>
      </c>
      <c r="U500" s="385" t="s">
        <v>2647</v>
      </c>
      <c r="V500" s="385" t="s">
        <v>2646</v>
      </c>
      <c r="W500" s="386" t="s">
        <v>3277</v>
      </c>
      <c r="X500" s="324" t="s">
        <v>3362</v>
      </c>
      <c r="Y500" s="324" t="s">
        <v>3398</v>
      </c>
      <c r="Z500" s="322" t="s">
        <v>3380</v>
      </c>
      <c r="AA500" s="392">
        <v>91239</v>
      </c>
    </row>
    <row r="501" spans="17:27" ht="13.8">
      <c r="Q501" s="385">
        <f t="shared" si="7"/>
        <v>495</v>
      </c>
      <c r="R501" s="386" t="s">
        <v>2648</v>
      </c>
      <c r="S501" s="386" t="s">
        <v>2649</v>
      </c>
      <c r="T501" s="387" t="s">
        <v>1306</v>
      </c>
      <c r="U501" s="385" t="s">
        <v>2650</v>
      </c>
      <c r="V501" s="385" t="s">
        <v>3081</v>
      </c>
      <c r="W501" s="386" t="s">
        <v>3081</v>
      </c>
      <c r="X501" s="324" t="s">
        <v>3363</v>
      </c>
      <c r="Y501" s="324" t="s">
        <v>3398</v>
      </c>
      <c r="Z501" s="322" t="s">
        <v>3379</v>
      </c>
      <c r="AA501" s="392">
        <v>10804</v>
      </c>
    </row>
    <row r="502" spans="17:27" ht="13.8">
      <c r="Q502" s="385">
        <f t="shared" si="7"/>
        <v>496</v>
      </c>
      <c r="R502" s="386" t="s">
        <v>2651</v>
      </c>
      <c r="S502" s="386" t="s">
        <v>2652</v>
      </c>
      <c r="T502" s="387" t="s">
        <v>1539</v>
      </c>
      <c r="U502" s="385" t="s">
        <v>2653</v>
      </c>
      <c r="V502" s="385" t="s">
        <v>3341</v>
      </c>
      <c r="W502" s="386" t="s">
        <v>3341</v>
      </c>
      <c r="X502" s="324" t="s">
        <v>3364</v>
      </c>
      <c r="Y502" s="324" t="s">
        <v>3398</v>
      </c>
      <c r="Z502" s="322" t="s">
        <v>3380</v>
      </c>
      <c r="AA502" s="392">
        <v>84913</v>
      </c>
    </row>
    <row r="503" spans="17:27" ht="13.8">
      <c r="Q503" s="385">
        <f t="shared" si="7"/>
        <v>497</v>
      </c>
      <c r="R503" s="386" t="s">
        <v>2654</v>
      </c>
      <c r="S503" s="386" t="s">
        <v>2655</v>
      </c>
      <c r="T503" s="387" t="s">
        <v>1227</v>
      </c>
      <c r="U503" s="385" t="s">
        <v>2656</v>
      </c>
      <c r="V503" s="385" t="s">
        <v>3082</v>
      </c>
      <c r="W503" s="386" t="s">
        <v>3082</v>
      </c>
      <c r="X503" s="324" t="s">
        <v>3363</v>
      </c>
      <c r="Y503" s="324" t="s">
        <v>3398</v>
      </c>
      <c r="Z503" s="322" t="s">
        <v>3379</v>
      </c>
      <c r="AA503" s="392">
        <v>3347</v>
      </c>
    </row>
    <row r="504" spans="17:27" ht="13.8">
      <c r="Q504" s="385">
        <f t="shared" si="7"/>
        <v>498</v>
      </c>
      <c r="R504" s="386" t="s">
        <v>2657</v>
      </c>
      <c r="S504" s="386" t="s">
        <v>2658</v>
      </c>
      <c r="T504" s="387" t="s">
        <v>1168</v>
      </c>
      <c r="U504" s="385" t="s">
        <v>2659</v>
      </c>
      <c r="V504" s="385" t="s">
        <v>3083</v>
      </c>
      <c r="W504" s="386" t="s">
        <v>3083</v>
      </c>
      <c r="X504" s="324" t="s">
        <v>3363</v>
      </c>
      <c r="Y504" s="324" t="s">
        <v>3398</v>
      </c>
      <c r="Z504" s="322" t="s">
        <v>3379</v>
      </c>
      <c r="AA504" s="392">
        <v>6245</v>
      </c>
    </row>
    <row r="505" spans="17:27" ht="13.8">
      <c r="Q505" s="385">
        <f t="shared" si="7"/>
        <v>499</v>
      </c>
      <c r="R505" s="386" t="s">
        <v>2660</v>
      </c>
      <c r="S505" s="386" t="s">
        <v>2661</v>
      </c>
      <c r="T505" s="387" t="s">
        <v>1244</v>
      </c>
      <c r="U505" s="385" t="s">
        <v>2662</v>
      </c>
      <c r="V505" s="385" t="s">
        <v>3361</v>
      </c>
      <c r="W505" s="386" t="s">
        <v>3361</v>
      </c>
      <c r="X505" s="324" t="s">
        <v>3364</v>
      </c>
      <c r="Y505" s="324" t="s">
        <v>3400</v>
      </c>
      <c r="Z505" s="322" t="s">
        <v>3394</v>
      </c>
      <c r="AA505" s="392">
        <v>66455</v>
      </c>
    </row>
    <row r="506" spans="17:27" ht="13.8">
      <c r="Q506" s="385">
        <f t="shared" si="7"/>
        <v>500</v>
      </c>
      <c r="R506" s="386" t="s">
        <v>2663</v>
      </c>
      <c r="S506" s="386" t="s">
        <v>2664</v>
      </c>
      <c r="T506" s="387" t="s">
        <v>1293</v>
      </c>
      <c r="U506" s="385" t="s">
        <v>2665</v>
      </c>
      <c r="V506" s="385" t="s">
        <v>2664</v>
      </c>
      <c r="W506" s="386" t="s">
        <v>1274</v>
      </c>
      <c r="X506" s="324" t="s">
        <v>3362</v>
      </c>
      <c r="Y506" s="324" t="s">
        <v>3399</v>
      </c>
      <c r="Z506" s="322" t="s">
        <v>3384</v>
      </c>
      <c r="AA506" s="392">
        <v>5908</v>
      </c>
    </row>
    <row r="507" spans="17:27" ht="13.8">
      <c r="Q507" s="385">
        <f t="shared" si="7"/>
        <v>501</v>
      </c>
      <c r="R507" s="386" t="s">
        <v>2666</v>
      </c>
      <c r="S507" s="386" t="s">
        <v>2664</v>
      </c>
      <c r="T507" s="387" t="s">
        <v>1274</v>
      </c>
      <c r="U507" s="385" t="s">
        <v>2667</v>
      </c>
      <c r="V507" s="385" t="s">
        <v>2664</v>
      </c>
      <c r="W507" s="386" t="s">
        <v>1274</v>
      </c>
      <c r="X507" s="324" t="s">
        <v>3362</v>
      </c>
      <c r="Y507" s="324" t="s">
        <v>3399</v>
      </c>
      <c r="Z507" s="322" t="s">
        <v>3384</v>
      </c>
      <c r="AA507" s="392">
        <v>56642</v>
      </c>
    </row>
    <row r="508" spans="17:27" ht="13.8">
      <c r="Q508" s="385">
        <f t="shared" si="7"/>
        <v>502</v>
      </c>
      <c r="R508" s="386" t="s">
        <v>2668</v>
      </c>
      <c r="S508" s="386" t="s">
        <v>2669</v>
      </c>
      <c r="T508" s="387" t="s">
        <v>1344</v>
      </c>
      <c r="U508" s="385" t="s">
        <v>2670</v>
      </c>
      <c r="V508" s="385" t="s">
        <v>2669</v>
      </c>
      <c r="W508" s="386" t="s">
        <v>3278</v>
      </c>
      <c r="X508" s="324" t="s">
        <v>3362</v>
      </c>
      <c r="Y508" s="324" t="s">
        <v>3399</v>
      </c>
      <c r="Z508" s="322" t="s">
        <v>3384</v>
      </c>
      <c r="AA508" s="392">
        <v>7660</v>
      </c>
    </row>
    <row r="509" spans="17:27" ht="13.8">
      <c r="Q509" s="385">
        <f t="shared" si="7"/>
        <v>503</v>
      </c>
      <c r="R509" s="386" t="s">
        <v>2671</v>
      </c>
      <c r="S509" s="386" t="s">
        <v>2672</v>
      </c>
      <c r="T509" s="387" t="s">
        <v>1168</v>
      </c>
      <c r="U509" s="385" t="s">
        <v>2673</v>
      </c>
      <c r="V509" s="385" t="s">
        <v>2672</v>
      </c>
      <c r="W509" s="386" t="s">
        <v>3279</v>
      </c>
      <c r="X509" s="324" t="s">
        <v>3362</v>
      </c>
      <c r="Y509" s="324" t="s">
        <v>3399</v>
      </c>
      <c r="Z509" s="322" t="s">
        <v>3384</v>
      </c>
      <c r="AA509" s="392">
        <v>6902</v>
      </c>
    </row>
    <row r="510" spans="17:27" ht="13.8">
      <c r="Q510" s="385">
        <f t="shared" si="7"/>
        <v>504</v>
      </c>
      <c r="R510" s="386" t="s">
        <v>2674</v>
      </c>
      <c r="S510" s="386" t="s">
        <v>2675</v>
      </c>
      <c r="T510" s="387" t="s">
        <v>1186</v>
      </c>
      <c r="U510" s="385" t="s">
        <v>2676</v>
      </c>
      <c r="V510" s="385" t="s">
        <v>2675</v>
      </c>
      <c r="W510" s="386" t="s">
        <v>3280</v>
      </c>
      <c r="X510" s="324" t="s">
        <v>3362</v>
      </c>
      <c r="Y510" s="324" t="s">
        <v>3399</v>
      </c>
      <c r="Z510" s="322" t="s">
        <v>3384</v>
      </c>
      <c r="AA510" s="392">
        <v>3505</v>
      </c>
    </row>
    <row r="511" spans="17:27" ht="13.8">
      <c r="Q511" s="385">
        <f t="shared" si="7"/>
        <v>505</v>
      </c>
      <c r="R511" s="386" t="s">
        <v>2677</v>
      </c>
      <c r="S511" s="386" t="s">
        <v>2678</v>
      </c>
      <c r="T511" s="387" t="s">
        <v>1176</v>
      </c>
      <c r="U511" s="385" t="s">
        <v>2679</v>
      </c>
      <c r="V511" s="385" t="s">
        <v>3084</v>
      </c>
      <c r="W511" s="386" t="s">
        <v>3084</v>
      </c>
      <c r="X511" s="324" t="s">
        <v>3363</v>
      </c>
      <c r="Y511" s="324" t="s">
        <v>3398</v>
      </c>
      <c r="Z511" s="322" t="s">
        <v>3379</v>
      </c>
      <c r="AA511" s="392">
        <v>8208</v>
      </c>
    </row>
    <row r="512" spans="17:27" ht="13.8">
      <c r="Q512" s="385">
        <f t="shared" si="7"/>
        <v>506</v>
      </c>
      <c r="R512" s="386" t="s">
        <v>2680</v>
      </c>
      <c r="S512" s="386" t="s">
        <v>2681</v>
      </c>
      <c r="T512" s="387" t="s">
        <v>1220</v>
      </c>
      <c r="U512" s="385" t="s">
        <v>2682</v>
      </c>
      <c r="V512" s="385" t="s">
        <v>2681</v>
      </c>
      <c r="W512" s="386" t="s">
        <v>3281</v>
      </c>
      <c r="X512" s="324" t="s">
        <v>3362</v>
      </c>
      <c r="Y512" s="324" t="s">
        <v>3399</v>
      </c>
      <c r="Z512" s="322" t="s">
        <v>3384</v>
      </c>
      <c r="AA512" s="392">
        <v>12373</v>
      </c>
    </row>
    <row r="513" spans="17:27" ht="13.8">
      <c r="Q513" s="385">
        <f t="shared" si="7"/>
        <v>507</v>
      </c>
      <c r="R513" s="386" t="s">
        <v>2683</v>
      </c>
      <c r="S513" s="386" t="s">
        <v>2684</v>
      </c>
      <c r="T513" s="387" t="s">
        <v>1172</v>
      </c>
      <c r="U513" s="385" t="s">
        <v>2685</v>
      </c>
      <c r="V513" s="385" t="s">
        <v>2684</v>
      </c>
      <c r="W513" s="386" t="s">
        <v>2684</v>
      </c>
      <c r="X513" s="324" t="s">
        <v>3364</v>
      </c>
      <c r="Y513" s="324" t="s">
        <v>3400</v>
      </c>
      <c r="Z513" s="322" t="s">
        <v>3383</v>
      </c>
      <c r="AA513" s="392">
        <v>10650</v>
      </c>
    </row>
    <row r="514" spans="17:27" ht="13.8">
      <c r="Q514" s="385">
        <f t="shared" si="7"/>
        <v>508</v>
      </c>
      <c r="R514" s="386" t="s">
        <v>2686</v>
      </c>
      <c r="S514" s="386" t="s">
        <v>2687</v>
      </c>
      <c r="T514" s="387" t="s">
        <v>1197</v>
      </c>
      <c r="U514" s="385" t="s">
        <v>2688</v>
      </c>
      <c r="V514" s="385" t="s">
        <v>2687</v>
      </c>
      <c r="W514" s="386" t="s">
        <v>3282</v>
      </c>
      <c r="X514" s="324" t="s">
        <v>3362</v>
      </c>
      <c r="Y514" s="324" t="s">
        <v>3398</v>
      </c>
      <c r="Z514" s="322" t="s">
        <v>3385</v>
      </c>
      <c r="AA514" s="392">
        <v>23943</v>
      </c>
    </row>
    <row r="515" spans="17:27" ht="13.8">
      <c r="Q515" s="385">
        <f t="shared" si="7"/>
        <v>509</v>
      </c>
      <c r="R515" s="386" t="s">
        <v>2689</v>
      </c>
      <c r="S515" s="386" t="s">
        <v>2690</v>
      </c>
      <c r="T515" s="387" t="s">
        <v>1258</v>
      </c>
      <c r="U515" s="385" t="s">
        <v>2691</v>
      </c>
      <c r="V515" s="385" t="s">
        <v>2690</v>
      </c>
      <c r="W515" s="386" t="s">
        <v>3283</v>
      </c>
      <c r="X515" s="324" t="s">
        <v>3362</v>
      </c>
      <c r="Y515" s="324" t="s">
        <v>3398</v>
      </c>
      <c r="Z515" s="322" t="s">
        <v>3385</v>
      </c>
      <c r="AA515" s="392">
        <v>13332</v>
      </c>
    </row>
    <row r="516" spans="17:27" ht="13.8">
      <c r="Q516" s="385">
        <f t="shared" si="7"/>
        <v>510</v>
      </c>
      <c r="R516" s="386" t="s">
        <v>2692</v>
      </c>
      <c r="S516" s="386" t="s">
        <v>2693</v>
      </c>
      <c r="T516" s="387" t="s">
        <v>1316</v>
      </c>
      <c r="U516" s="385" t="s">
        <v>2694</v>
      </c>
      <c r="V516" s="385" t="s">
        <v>3085</v>
      </c>
      <c r="W516" s="386" t="s">
        <v>3085</v>
      </c>
      <c r="X516" s="324" t="s">
        <v>3363</v>
      </c>
      <c r="Y516" s="324" t="s">
        <v>3398</v>
      </c>
      <c r="Z516" s="322" t="s">
        <v>3379</v>
      </c>
      <c r="AA516" s="392">
        <v>1520</v>
      </c>
    </row>
    <row r="517" spans="17:27" ht="13.8">
      <c r="Q517" s="385">
        <f t="shared" si="7"/>
        <v>511</v>
      </c>
      <c r="R517" s="386" t="s">
        <v>2695</v>
      </c>
      <c r="S517" s="386" t="s">
        <v>2696</v>
      </c>
      <c r="T517" s="387" t="s">
        <v>1344</v>
      </c>
      <c r="U517" s="385" t="s">
        <v>2697</v>
      </c>
      <c r="V517" s="385" t="s">
        <v>3342</v>
      </c>
      <c r="W517" s="386" t="s">
        <v>3342</v>
      </c>
      <c r="X517" s="324" t="s">
        <v>3364</v>
      </c>
      <c r="Y517" s="324" t="s">
        <v>3398</v>
      </c>
      <c r="Z517" s="322" t="s">
        <v>3387</v>
      </c>
      <c r="AA517" s="392">
        <v>60724</v>
      </c>
    </row>
    <row r="518" spans="17:27" ht="13.8">
      <c r="Q518" s="385">
        <f t="shared" si="7"/>
        <v>512</v>
      </c>
      <c r="R518" s="386" t="s">
        <v>2698</v>
      </c>
      <c r="S518" s="386" t="s">
        <v>2699</v>
      </c>
      <c r="T518" s="387" t="s">
        <v>1213</v>
      </c>
      <c r="U518" s="385" t="s">
        <v>2700</v>
      </c>
      <c r="V518" s="385" t="s">
        <v>2699</v>
      </c>
      <c r="W518" s="386" t="s">
        <v>3284</v>
      </c>
      <c r="X518" s="324" t="s">
        <v>3362</v>
      </c>
      <c r="Y518" s="324" t="s">
        <v>3399</v>
      </c>
      <c r="Z518" s="322" t="s">
        <v>3384</v>
      </c>
      <c r="AA518" s="392">
        <v>29131</v>
      </c>
    </row>
    <row r="519" spans="17:27" ht="13.8">
      <c r="Q519" s="385">
        <f t="shared" si="7"/>
        <v>513</v>
      </c>
      <c r="R519" s="386" t="s">
        <v>2701</v>
      </c>
      <c r="S519" s="386" t="s">
        <v>2702</v>
      </c>
      <c r="T519" s="387" t="s">
        <v>1176</v>
      </c>
      <c r="U519" s="385" t="s">
        <v>2703</v>
      </c>
      <c r="V519" s="385" t="s">
        <v>3086</v>
      </c>
      <c r="W519" s="386" t="s">
        <v>3086</v>
      </c>
      <c r="X519" s="324" t="s">
        <v>3363</v>
      </c>
      <c r="Y519" s="324" t="s">
        <v>3398</v>
      </c>
      <c r="Z519" s="322" t="s">
        <v>3379</v>
      </c>
      <c r="AA519" s="392">
        <v>9625</v>
      </c>
    </row>
    <row r="520" spans="17:27" ht="13.8">
      <c r="Q520" s="385">
        <f t="shared" si="7"/>
        <v>514</v>
      </c>
      <c r="R520" s="386" t="s">
        <v>2704</v>
      </c>
      <c r="S520" s="386" t="s">
        <v>2705</v>
      </c>
      <c r="T520" s="387" t="s">
        <v>1168</v>
      </c>
      <c r="U520" s="385" t="s">
        <v>2706</v>
      </c>
      <c r="V520" s="385" t="s">
        <v>2705</v>
      </c>
      <c r="W520" s="386" t="s">
        <v>3285</v>
      </c>
      <c r="X520" s="324" t="s">
        <v>3362</v>
      </c>
      <c r="Y520" s="324" t="s">
        <v>3399</v>
      </c>
      <c r="Z520" s="322" t="s">
        <v>3384</v>
      </c>
      <c r="AA520" s="392">
        <v>26164</v>
      </c>
    </row>
    <row r="521" spans="17:27" ht="13.8">
      <c r="Q521" s="385">
        <f t="shared" ref="Q521:Q584" si="8">Q520+1</f>
        <v>515</v>
      </c>
      <c r="R521" s="386" t="s">
        <v>2707</v>
      </c>
      <c r="S521" s="386" t="s">
        <v>2708</v>
      </c>
      <c r="T521" s="387" t="s">
        <v>1176</v>
      </c>
      <c r="U521" s="385" t="s">
        <v>2709</v>
      </c>
      <c r="V521" s="385" t="s">
        <v>3087</v>
      </c>
      <c r="W521" s="386" t="s">
        <v>3087</v>
      </c>
      <c r="X521" s="324" t="s">
        <v>3363</v>
      </c>
      <c r="Y521" s="324" t="s">
        <v>3398</v>
      </c>
      <c r="Z521" s="322" t="s">
        <v>3379</v>
      </c>
      <c r="AA521" s="392">
        <v>11335</v>
      </c>
    </row>
    <row r="522" spans="17:27" ht="13.8">
      <c r="Q522" s="385">
        <f t="shared" si="8"/>
        <v>516</v>
      </c>
      <c r="R522" s="386" t="s">
        <v>2710</v>
      </c>
      <c r="S522" s="386" t="s">
        <v>2711</v>
      </c>
      <c r="T522" s="387" t="s">
        <v>1197</v>
      </c>
      <c r="U522" s="385" t="s">
        <v>2712</v>
      </c>
      <c r="V522" s="385" t="s">
        <v>2711</v>
      </c>
      <c r="W522" s="386" t="s">
        <v>3286</v>
      </c>
      <c r="X522" s="324" t="s">
        <v>3362</v>
      </c>
      <c r="Y522" s="324" t="s">
        <v>3399</v>
      </c>
      <c r="Z522" s="322" t="s">
        <v>3381</v>
      </c>
      <c r="AA522" s="392">
        <v>16</v>
      </c>
    </row>
    <row r="523" spans="17:27" ht="13.8">
      <c r="Q523" s="385">
        <f t="shared" si="8"/>
        <v>517</v>
      </c>
      <c r="R523" s="386" t="s">
        <v>2713</v>
      </c>
      <c r="S523" s="386" t="s">
        <v>2714</v>
      </c>
      <c r="T523" s="387" t="s">
        <v>1306</v>
      </c>
      <c r="U523" s="385" t="s">
        <v>2715</v>
      </c>
      <c r="V523" s="385" t="s">
        <v>3088</v>
      </c>
      <c r="W523" s="386" t="s">
        <v>3088</v>
      </c>
      <c r="X523" s="324" t="s">
        <v>3363</v>
      </c>
      <c r="Y523" s="324" t="s">
        <v>3398</v>
      </c>
      <c r="Z523" s="322" t="s">
        <v>3379</v>
      </c>
      <c r="AA523" s="392">
        <v>11116</v>
      </c>
    </row>
    <row r="524" spans="17:27" ht="13.8">
      <c r="Q524" s="385">
        <f t="shared" si="8"/>
        <v>518</v>
      </c>
      <c r="R524" s="386" t="s">
        <v>2716</v>
      </c>
      <c r="S524" s="386" t="s">
        <v>2717</v>
      </c>
      <c r="T524" s="387" t="s">
        <v>1197</v>
      </c>
      <c r="U524" s="385" t="s">
        <v>2718</v>
      </c>
      <c r="V524" s="385" t="s">
        <v>2717</v>
      </c>
      <c r="W524" s="386" t="s">
        <v>3287</v>
      </c>
      <c r="X524" s="324" t="s">
        <v>3362</v>
      </c>
      <c r="Y524" s="324" t="s">
        <v>3399</v>
      </c>
      <c r="Z524" s="322" t="s">
        <v>3381</v>
      </c>
      <c r="AA524" s="392">
        <v>11358</v>
      </c>
    </row>
    <row r="525" spans="17:27" ht="13.8">
      <c r="Q525" s="385">
        <f t="shared" si="8"/>
        <v>519</v>
      </c>
      <c r="R525" s="386" t="s">
        <v>2719</v>
      </c>
      <c r="S525" s="386" t="s">
        <v>2720</v>
      </c>
      <c r="T525" s="387" t="s">
        <v>1254</v>
      </c>
      <c r="U525" s="385" t="s">
        <v>2721</v>
      </c>
      <c r="V525" s="385" t="s">
        <v>2720</v>
      </c>
      <c r="W525" s="386" t="s">
        <v>1190</v>
      </c>
      <c r="X525" s="324" t="s">
        <v>3362</v>
      </c>
      <c r="Y525" s="324" t="s">
        <v>3399</v>
      </c>
      <c r="Z525" s="322" t="s">
        <v>3384</v>
      </c>
      <c r="AA525" s="392">
        <v>15311</v>
      </c>
    </row>
    <row r="526" spans="17:27" ht="13.8">
      <c r="Q526" s="385">
        <f t="shared" si="8"/>
        <v>520</v>
      </c>
      <c r="R526" s="386" t="s">
        <v>2722</v>
      </c>
      <c r="S526" s="386" t="s">
        <v>2723</v>
      </c>
      <c r="T526" s="387" t="s">
        <v>1190</v>
      </c>
      <c r="U526" s="385" t="s">
        <v>2724</v>
      </c>
      <c r="V526" s="385" t="s">
        <v>3089</v>
      </c>
      <c r="W526" s="386" t="s">
        <v>3089</v>
      </c>
      <c r="X526" s="324" t="s">
        <v>3363</v>
      </c>
      <c r="Y526" s="324" t="s">
        <v>3398</v>
      </c>
      <c r="Z526" s="322" t="s">
        <v>3379</v>
      </c>
      <c r="AA526" s="392">
        <v>6461</v>
      </c>
    </row>
    <row r="527" spans="17:27" ht="13.8">
      <c r="Q527" s="385">
        <f t="shared" si="8"/>
        <v>521</v>
      </c>
      <c r="R527" s="386" t="s">
        <v>2725</v>
      </c>
      <c r="S527" s="386" t="s">
        <v>2726</v>
      </c>
      <c r="T527" s="387" t="s">
        <v>1176</v>
      </c>
      <c r="U527" s="385" t="s">
        <v>2727</v>
      </c>
      <c r="V527" s="385" t="s">
        <v>2726</v>
      </c>
      <c r="W527" s="386" t="s">
        <v>3089</v>
      </c>
      <c r="X527" s="324" t="s">
        <v>3362</v>
      </c>
      <c r="Y527" s="324" t="s">
        <v>3398</v>
      </c>
      <c r="Z527" s="322" t="s">
        <v>3387</v>
      </c>
      <c r="AA527" s="392">
        <v>9102</v>
      </c>
    </row>
    <row r="528" spans="17:27" ht="13.8">
      <c r="Q528" s="385">
        <f t="shared" si="8"/>
        <v>522</v>
      </c>
      <c r="R528" s="386" t="s">
        <v>2728</v>
      </c>
      <c r="S528" s="386" t="s">
        <v>2726</v>
      </c>
      <c r="T528" s="387" t="s">
        <v>1237</v>
      </c>
      <c r="U528" s="385" t="s">
        <v>2729</v>
      </c>
      <c r="V528" s="385" t="s">
        <v>2726</v>
      </c>
      <c r="W528" s="386" t="s">
        <v>3089</v>
      </c>
      <c r="X528" s="324" t="s">
        <v>3362</v>
      </c>
      <c r="Y528" s="324" t="s">
        <v>3399</v>
      </c>
      <c r="Z528" s="322" t="s">
        <v>3381</v>
      </c>
      <c r="AA528" s="392">
        <v>687</v>
      </c>
    </row>
    <row r="529" spans="17:27" ht="13.8">
      <c r="Q529" s="385">
        <f t="shared" si="8"/>
        <v>523</v>
      </c>
      <c r="R529" s="386" t="s">
        <v>2730</v>
      </c>
      <c r="S529" s="386" t="s">
        <v>2726</v>
      </c>
      <c r="T529" s="387" t="s">
        <v>1433</v>
      </c>
      <c r="U529" s="385" t="s">
        <v>2731</v>
      </c>
      <c r="V529" s="385" t="s">
        <v>2726</v>
      </c>
      <c r="W529" s="386" t="s">
        <v>3089</v>
      </c>
      <c r="X529" s="324" t="s">
        <v>3362</v>
      </c>
      <c r="Y529" s="324" t="s">
        <v>3398</v>
      </c>
      <c r="Z529" s="322" t="s">
        <v>3387</v>
      </c>
      <c r="AA529" s="392">
        <v>48559</v>
      </c>
    </row>
    <row r="530" spans="17:27" ht="13.8">
      <c r="Q530" s="385">
        <f t="shared" si="8"/>
        <v>524</v>
      </c>
      <c r="R530" s="386" t="s">
        <v>2732</v>
      </c>
      <c r="S530" s="386" t="s">
        <v>2726</v>
      </c>
      <c r="T530" s="387" t="s">
        <v>1316</v>
      </c>
      <c r="U530" s="385" t="s">
        <v>2733</v>
      </c>
      <c r="V530" s="385" t="s">
        <v>2726</v>
      </c>
      <c r="W530" s="386" t="s">
        <v>3089</v>
      </c>
      <c r="X530" s="324" t="s">
        <v>3362</v>
      </c>
      <c r="Y530" s="324" t="s">
        <v>3399</v>
      </c>
      <c r="Z530" s="322" t="s">
        <v>3384</v>
      </c>
      <c r="AA530" s="392">
        <v>18533</v>
      </c>
    </row>
    <row r="531" spans="17:27" ht="13.8">
      <c r="Q531" s="385">
        <f t="shared" si="8"/>
        <v>525</v>
      </c>
      <c r="R531" s="386" t="s">
        <v>2734</v>
      </c>
      <c r="S531" s="386" t="s">
        <v>2726</v>
      </c>
      <c r="T531" s="387" t="s">
        <v>1190</v>
      </c>
      <c r="U531" s="385" t="s">
        <v>2735</v>
      </c>
      <c r="V531" s="385" t="s">
        <v>2726</v>
      </c>
      <c r="W531" s="386" t="s">
        <v>3089</v>
      </c>
      <c r="X531" s="324" t="s">
        <v>3362</v>
      </c>
      <c r="Y531" s="324" t="s">
        <v>3399</v>
      </c>
      <c r="Z531" s="322" t="s">
        <v>3384</v>
      </c>
      <c r="AA531" s="392">
        <v>6651</v>
      </c>
    </row>
    <row r="532" spans="17:27" ht="13.8">
      <c r="Q532" s="385">
        <f t="shared" si="8"/>
        <v>526</v>
      </c>
      <c r="R532" s="386" t="s">
        <v>2736</v>
      </c>
      <c r="S532" s="386" t="s">
        <v>2737</v>
      </c>
      <c r="T532" s="387" t="s">
        <v>1254</v>
      </c>
      <c r="U532" s="385" t="s">
        <v>2738</v>
      </c>
      <c r="V532" s="385" t="s">
        <v>3090</v>
      </c>
      <c r="W532" s="386" t="s">
        <v>3090</v>
      </c>
      <c r="X532" s="324" t="s">
        <v>3363</v>
      </c>
      <c r="Y532" s="324" t="s">
        <v>3398</v>
      </c>
      <c r="Z532" s="322" t="s">
        <v>3379</v>
      </c>
      <c r="AA532" s="392">
        <v>5801</v>
      </c>
    </row>
    <row r="533" spans="17:27" ht="13.8">
      <c r="Q533" s="385">
        <f t="shared" si="8"/>
        <v>527</v>
      </c>
      <c r="R533" s="386" t="s">
        <v>2739</v>
      </c>
      <c r="S533" s="386" t="s">
        <v>2740</v>
      </c>
      <c r="T533" s="387" t="s">
        <v>1213</v>
      </c>
      <c r="U533" s="385" t="s">
        <v>2741</v>
      </c>
      <c r="V533" s="385" t="s">
        <v>2740</v>
      </c>
      <c r="W533" s="386" t="s">
        <v>3288</v>
      </c>
      <c r="X533" s="324" t="s">
        <v>3362</v>
      </c>
      <c r="Y533" s="324" t="s">
        <v>3399</v>
      </c>
      <c r="Z533" s="322" t="s">
        <v>3384</v>
      </c>
      <c r="AA533" s="392">
        <v>10649</v>
      </c>
    </row>
    <row r="534" spans="17:27" ht="13.8">
      <c r="Q534" s="385">
        <f t="shared" si="8"/>
        <v>528</v>
      </c>
      <c r="R534" s="386" t="s">
        <v>2742</v>
      </c>
      <c r="S534" s="386" t="s">
        <v>2743</v>
      </c>
      <c r="T534" s="387" t="s">
        <v>1306</v>
      </c>
      <c r="U534" s="385" t="s">
        <v>2744</v>
      </c>
      <c r="V534" s="385" t="s">
        <v>2743</v>
      </c>
      <c r="W534" s="386" t="s">
        <v>3289</v>
      </c>
      <c r="X534" s="324" t="s">
        <v>3362</v>
      </c>
      <c r="Y534" s="324" t="s">
        <v>3398</v>
      </c>
      <c r="Z534" s="322" t="s">
        <v>3386</v>
      </c>
      <c r="AA534" s="392">
        <v>54717</v>
      </c>
    </row>
    <row r="535" spans="17:27" ht="13.8">
      <c r="Q535" s="385">
        <f t="shared" si="8"/>
        <v>529</v>
      </c>
      <c r="R535" s="386" t="s">
        <v>2745</v>
      </c>
      <c r="S535" s="386" t="s">
        <v>2746</v>
      </c>
      <c r="T535" s="387" t="s">
        <v>1244</v>
      </c>
      <c r="U535" s="385" t="s">
        <v>2747</v>
      </c>
      <c r="V535" s="385" t="s">
        <v>2746</v>
      </c>
      <c r="W535" s="386" t="s">
        <v>3290</v>
      </c>
      <c r="X535" s="324" t="s">
        <v>3362</v>
      </c>
      <c r="Y535" s="324" t="s">
        <v>3398</v>
      </c>
      <c r="Z535" s="322" t="s">
        <v>3385</v>
      </c>
      <c r="AA535" s="392">
        <v>12554</v>
      </c>
    </row>
    <row r="536" spans="17:27" ht="13.8">
      <c r="Q536" s="385">
        <f t="shared" si="8"/>
        <v>530</v>
      </c>
      <c r="R536" s="386" t="s">
        <v>2748</v>
      </c>
      <c r="S536" s="386" t="s">
        <v>2749</v>
      </c>
      <c r="T536" s="387" t="s">
        <v>1433</v>
      </c>
      <c r="U536" s="385" t="s">
        <v>2750</v>
      </c>
      <c r="V536" s="385" t="s">
        <v>3091</v>
      </c>
      <c r="W536" s="386" t="s">
        <v>3091</v>
      </c>
      <c r="X536" s="324" t="s">
        <v>3363</v>
      </c>
      <c r="Y536" s="324" t="s">
        <v>3398</v>
      </c>
      <c r="Z536" s="322" t="s">
        <v>3379</v>
      </c>
      <c r="AA536" s="392">
        <v>2278</v>
      </c>
    </row>
    <row r="537" spans="17:27" ht="13.8">
      <c r="Q537" s="385">
        <f t="shared" si="8"/>
        <v>531</v>
      </c>
      <c r="R537" s="386" t="s">
        <v>2751</v>
      </c>
      <c r="S537" s="386" t="s">
        <v>2752</v>
      </c>
      <c r="T537" s="387" t="s">
        <v>1293</v>
      </c>
      <c r="U537" s="385" t="s">
        <v>2753</v>
      </c>
      <c r="V537" s="385" t="s">
        <v>2752</v>
      </c>
      <c r="W537" s="386" t="s">
        <v>3291</v>
      </c>
      <c r="X537" s="324" t="s">
        <v>3362</v>
      </c>
      <c r="Y537" s="324" t="s">
        <v>3399</v>
      </c>
      <c r="Z537" s="322" t="s">
        <v>3381</v>
      </c>
      <c r="AA537" s="392">
        <v>3840</v>
      </c>
    </row>
    <row r="538" spans="17:27" ht="13.8">
      <c r="Q538" s="385">
        <f t="shared" si="8"/>
        <v>532</v>
      </c>
      <c r="R538" s="386" t="s">
        <v>2754</v>
      </c>
      <c r="S538" s="386" t="s">
        <v>2755</v>
      </c>
      <c r="T538" s="387" t="s">
        <v>1258</v>
      </c>
      <c r="U538" s="385" t="s">
        <v>2756</v>
      </c>
      <c r="V538" s="385" t="s">
        <v>2755</v>
      </c>
      <c r="W538" s="386" t="s">
        <v>3292</v>
      </c>
      <c r="X538" s="324" t="s">
        <v>3362</v>
      </c>
      <c r="Y538" s="324" t="s">
        <v>3398</v>
      </c>
      <c r="Z538" s="322" t="s">
        <v>3379</v>
      </c>
      <c r="AA538" s="392">
        <v>10759</v>
      </c>
    </row>
    <row r="539" spans="17:27" ht="13.8">
      <c r="Q539" s="385">
        <f t="shared" si="8"/>
        <v>533</v>
      </c>
      <c r="R539" s="386" t="s">
        <v>96</v>
      </c>
      <c r="S539" s="386" t="s">
        <v>2757</v>
      </c>
      <c r="T539" s="387" t="s">
        <v>1220</v>
      </c>
      <c r="U539" s="385" t="s">
        <v>2758</v>
      </c>
      <c r="V539" s="385" t="s">
        <v>3092</v>
      </c>
      <c r="W539" s="386" t="s">
        <v>3092</v>
      </c>
      <c r="X539" s="324" t="s">
        <v>3363</v>
      </c>
      <c r="Y539" s="324" t="s">
        <v>3400</v>
      </c>
      <c r="Z539" s="322" t="s">
        <v>3383</v>
      </c>
      <c r="AA539" s="392">
        <v>1024</v>
      </c>
    </row>
    <row r="540" spans="17:27" ht="13.8">
      <c r="Q540" s="385">
        <f t="shared" si="8"/>
        <v>534</v>
      </c>
      <c r="R540" s="386" t="s">
        <v>2759</v>
      </c>
      <c r="S540" s="386" t="s">
        <v>2760</v>
      </c>
      <c r="T540" s="387" t="s">
        <v>1433</v>
      </c>
      <c r="U540" s="385" t="s">
        <v>2761</v>
      </c>
      <c r="V540" s="385" t="s">
        <v>2760</v>
      </c>
      <c r="W540" s="386" t="s">
        <v>3293</v>
      </c>
      <c r="X540" s="324" t="s">
        <v>3362</v>
      </c>
      <c r="Y540" s="324" t="s">
        <v>3399</v>
      </c>
      <c r="Z540" s="322" t="s">
        <v>3384</v>
      </c>
      <c r="AA540" s="392">
        <v>21677</v>
      </c>
    </row>
    <row r="541" spans="17:27" ht="13.8">
      <c r="Q541" s="385">
        <f t="shared" si="8"/>
        <v>535</v>
      </c>
      <c r="R541" s="386" t="s">
        <v>2762</v>
      </c>
      <c r="S541" s="386" t="s">
        <v>2763</v>
      </c>
      <c r="T541" s="387" t="s">
        <v>1168</v>
      </c>
      <c r="U541" s="385" t="s">
        <v>2764</v>
      </c>
      <c r="V541" s="385" t="s">
        <v>3093</v>
      </c>
      <c r="W541" s="386" t="s">
        <v>3093</v>
      </c>
      <c r="X541" s="324" t="s">
        <v>3363</v>
      </c>
      <c r="Y541" s="324" t="s">
        <v>3398</v>
      </c>
      <c r="Z541" s="322" t="s">
        <v>3379</v>
      </c>
      <c r="AA541" s="392">
        <v>8097</v>
      </c>
    </row>
    <row r="542" spans="17:27" ht="13.8">
      <c r="Q542" s="385">
        <f t="shared" si="8"/>
        <v>536</v>
      </c>
      <c r="R542" s="386" t="s">
        <v>2765</v>
      </c>
      <c r="S542" s="386" t="s">
        <v>2766</v>
      </c>
      <c r="T542" s="387" t="s">
        <v>1306</v>
      </c>
      <c r="U542" s="385" t="s">
        <v>2767</v>
      </c>
      <c r="V542" s="385" t="s">
        <v>2766</v>
      </c>
      <c r="W542" s="386" t="s">
        <v>3294</v>
      </c>
      <c r="X542" s="324" t="s">
        <v>3362</v>
      </c>
      <c r="Y542" s="324" t="s">
        <v>3398</v>
      </c>
      <c r="Z542" s="322" t="s">
        <v>3379</v>
      </c>
      <c r="AA542" s="392">
        <v>25850</v>
      </c>
    </row>
    <row r="543" spans="17:27" ht="13.8">
      <c r="Q543" s="385">
        <f t="shared" si="8"/>
        <v>537</v>
      </c>
      <c r="R543" s="386" t="s">
        <v>2768</v>
      </c>
      <c r="S543" s="386" t="s">
        <v>2769</v>
      </c>
      <c r="T543" s="387" t="s">
        <v>1244</v>
      </c>
      <c r="U543" s="385" t="s">
        <v>2770</v>
      </c>
      <c r="V543" s="385" t="s">
        <v>3355</v>
      </c>
      <c r="W543" s="386" t="s">
        <v>3355</v>
      </c>
      <c r="X543" s="324" t="s">
        <v>2856</v>
      </c>
      <c r="Y543" s="324" t="s">
        <v>3400</v>
      </c>
      <c r="Z543" s="322" t="s">
        <v>3394</v>
      </c>
      <c r="AA543" s="392">
        <v>49708</v>
      </c>
    </row>
    <row r="544" spans="17:27" ht="13.8">
      <c r="Q544" s="385">
        <f t="shared" si="8"/>
        <v>538</v>
      </c>
      <c r="R544" s="386" t="s">
        <v>2771</v>
      </c>
      <c r="S544" s="386" t="s">
        <v>2772</v>
      </c>
      <c r="T544" s="387" t="s">
        <v>1258</v>
      </c>
      <c r="U544" s="385" t="s">
        <v>2773</v>
      </c>
      <c r="V544" s="385" t="s">
        <v>2772</v>
      </c>
      <c r="W544" s="386" t="s">
        <v>3295</v>
      </c>
      <c r="X544" s="324" t="s">
        <v>3362</v>
      </c>
      <c r="Y544" s="324" t="s">
        <v>3398</v>
      </c>
      <c r="Z544" s="322" t="s">
        <v>3387</v>
      </c>
      <c r="AA544" s="392">
        <v>46207</v>
      </c>
    </row>
    <row r="545" spans="17:27" ht="13.8">
      <c r="Q545" s="385">
        <f t="shared" si="8"/>
        <v>539</v>
      </c>
      <c r="R545" s="386" t="s">
        <v>2774</v>
      </c>
      <c r="S545" s="386" t="s">
        <v>2775</v>
      </c>
      <c r="T545" s="387" t="s">
        <v>1220</v>
      </c>
      <c r="U545" s="385" t="s">
        <v>2776</v>
      </c>
      <c r="V545" s="385" t="s">
        <v>3094</v>
      </c>
      <c r="W545" s="386" t="s">
        <v>3094</v>
      </c>
      <c r="X545" s="324" t="s">
        <v>3363</v>
      </c>
      <c r="Y545" s="324" t="s">
        <v>3400</v>
      </c>
      <c r="Z545" s="322" t="s">
        <v>3383</v>
      </c>
      <c r="AA545" s="392">
        <v>603</v>
      </c>
    </row>
    <row r="546" spans="17:27" ht="13.8">
      <c r="Q546" s="385">
        <f t="shared" si="8"/>
        <v>540</v>
      </c>
      <c r="R546" s="386" t="s">
        <v>2777</v>
      </c>
      <c r="S546" s="386" t="s">
        <v>2778</v>
      </c>
      <c r="T546" s="387" t="s">
        <v>1539</v>
      </c>
      <c r="U546" s="385" t="s">
        <v>2779</v>
      </c>
      <c r="V546" s="385" t="s">
        <v>2778</v>
      </c>
      <c r="W546" s="386" t="s">
        <v>3296</v>
      </c>
      <c r="X546" s="324" t="s">
        <v>3362</v>
      </c>
      <c r="Y546" s="324" t="s">
        <v>3398</v>
      </c>
      <c r="Z546" s="322" t="s">
        <v>3387</v>
      </c>
      <c r="AA546" s="392">
        <v>27165</v>
      </c>
    </row>
    <row r="547" spans="17:27" ht="13.8">
      <c r="Q547" s="385">
        <f t="shared" si="8"/>
        <v>541</v>
      </c>
      <c r="R547" s="386" t="s">
        <v>2780</v>
      </c>
      <c r="S547" s="386" t="s">
        <v>2781</v>
      </c>
      <c r="T547" s="387" t="s">
        <v>1237</v>
      </c>
      <c r="U547" s="385" t="s">
        <v>2782</v>
      </c>
      <c r="V547" s="385" t="s">
        <v>2781</v>
      </c>
      <c r="W547" s="386" t="s">
        <v>3297</v>
      </c>
      <c r="X547" s="324" t="s">
        <v>3362</v>
      </c>
      <c r="Y547" s="324" t="s">
        <v>3399</v>
      </c>
      <c r="Z547" s="322" t="s">
        <v>3384</v>
      </c>
      <c r="AA547" s="392">
        <v>8813</v>
      </c>
    </row>
    <row r="548" spans="17:27" ht="13.8">
      <c r="Q548" s="385">
        <f t="shared" si="8"/>
        <v>542</v>
      </c>
      <c r="R548" s="386" t="s">
        <v>2783</v>
      </c>
      <c r="S548" s="386" t="s">
        <v>2784</v>
      </c>
      <c r="T548" s="387" t="s">
        <v>1274</v>
      </c>
      <c r="U548" s="385" t="s">
        <v>2785</v>
      </c>
      <c r="V548" s="385" t="s">
        <v>3356</v>
      </c>
      <c r="W548" s="386" t="s">
        <v>3356</v>
      </c>
      <c r="X548" s="324" t="s">
        <v>2856</v>
      </c>
      <c r="Y548" s="324" t="s">
        <v>3398</v>
      </c>
      <c r="Z548" s="322" t="s">
        <v>3392</v>
      </c>
      <c r="AA548" s="392">
        <v>30316</v>
      </c>
    </row>
    <row r="549" spans="17:27" ht="13.8">
      <c r="Q549" s="385">
        <f t="shared" si="8"/>
        <v>543</v>
      </c>
      <c r="R549" s="386" t="s">
        <v>2786</v>
      </c>
      <c r="S549" s="386" t="s">
        <v>2787</v>
      </c>
      <c r="T549" s="387" t="s">
        <v>1433</v>
      </c>
      <c r="U549" s="385" t="s">
        <v>2788</v>
      </c>
      <c r="V549" s="385" t="s">
        <v>3095</v>
      </c>
      <c r="W549" s="386" t="s">
        <v>3095</v>
      </c>
      <c r="X549" s="324" t="s">
        <v>3363</v>
      </c>
      <c r="Y549" s="324" t="s">
        <v>3398</v>
      </c>
      <c r="Z549" s="322" t="s">
        <v>3379</v>
      </c>
      <c r="AA549" s="392">
        <v>4288</v>
      </c>
    </row>
    <row r="550" spans="17:27" ht="13.8">
      <c r="Q550" s="385">
        <f t="shared" si="8"/>
        <v>544</v>
      </c>
      <c r="R550" s="386" t="s">
        <v>2789</v>
      </c>
      <c r="S550" s="386" t="s">
        <v>2790</v>
      </c>
      <c r="T550" s="387" t="s">
        <v>1176</v>
      </c>
      <c r="U550" s="385" t="s">
        <v>2791</v>
      </c>
      <c r="V550" s="385" t="s">
        <v>3096</v>
      </c>
      <c r="W550" s="386" t="s">
        <v>3096</v>
      </c>
      <c r="X550" s="324" t="s">
        <v>3363</v>
      </c>
      <c r="Y550" s="324" t="s">
        <v>3398</v>
      </c>
      <c r="Z550" s="322" t="s">
        <v>3379</v>
      </c>
      <c r="AA550" s="392">
        <v>10908</v>
      </c>
    </row>
    <row r="551" spans="17:27" ht="13.8">
      <c r="Q551" s="385">
        <f t="shared" si="8"/>
        <v>545</v>
      </c>
      <c r="R551" s="386" t="s">
        <v>2792</v>
      </c>
      <c r="S551" s="386" t="s">
        <v>2793</v>
      </c>
      <c r="T551" s="387" t="s">
        <v>1172</v>
      </c>
      <c r="U551" s="385" t="s">
        <v>2794</v>
      </c>
      <c r="V551" s="385" t="s">
        <v>2793</v>
      </c>
      <c r="W551" s="386" t="s">
        <v>3298</v>
      </c>
      <c r="X551" s="324" t="s">
        <v>3362</v>
      </c>
      <c r="Y551" s="324" t="s">
        <v>3399</v>
      </c>
      <c r="Z551" s="322" t="s">
        <v>3381</v>
      </c>
      <c r="AA551" s="392">
        <v>2715</v>
      </c>
    </row>
    <row r="552" spans="17:27" ht="13.8">
      <c r="Q552" s="385">
        <f t="shared" si="8"/>
        <v>546</v>
      </c>
      <c r="R552" s="386" t="s">
        <v>2795</v>
      </c>
      <c r="S552" s="386" t="s">
        <v>2796</v>
      </c>
      <c r="T552" s="387" t="s">
        <v>1316</v>
      </c>
      <c r="U552" s="385" t="s">
        <v>2797</v>
      </c>
      <c r="V552" s="385" t="s">
        <v>3097</v>
      </c>
      <c r="W552" s="386" t="s">
        <v>3097</v>
      </c>
      <c r="X552" s="324" t="s">
        <v>3363</v>
      </c>
      <c r="Y552" s="324" t="s">
        <v>3398</v>
      </c>
      <c r="Z552" s="322" t="s">
        <v>3379</v>
      </c>
      <c r="AA552" s="392">
        <v>6522</v>
      </c>
    </row>
    <row r="553" spans="17:27" ht="13.8">
      <c r="Q553" s="385">
        <f t="shared" si="8"/>
        <v>547</v>
      </c>
      <c r="R553" s="386" t="s">
        <v>2798</v>
      </c>
      <c r="S553" s="386" t="s">
        <v>2799</v>
      </c>
      <c r="T553" s="387" t="s">
        <v>1190</v>
      </c>
      <c r="U553" s="385" t="s">
        <v>2800</v>
      </c>
      <c r="V553" s="385" t="s">
        <v>2799</v>
      </c>
      <c r="W553" s="386" t="s">
        <v>3299</v>
      </c>
      <c r="X553" s="324" t="s">
        <v>3362</v>
      </c>
      <c r="Y553" s="324" t="s">
        <v>3399</v>
      </c>
      <c r="Z553" s="322" t="s">
        <v>3381</v>
      </c>
      <c r="AA553" s="392">
        <v>4882</v>
      </c>
    </row>
    <row r="554" spans="17:27" ht="13.8">
      <c r="Q554" s="385">
        <f t="shared" si="8"/>
        <v>548</v>
      </c>
      <c r="R554" s="386" t="s">
        <v>2801</v>
      </c>
      <c r="S554" s="386" t="s">
        <v>2802</v>
      </c>
      <c r="T554" s="387" t="s">
        <v>1220</v>
      </c>
      <c r="U554" s="385" t="s">
        <v>2803</v>
      </c>
      <c r="V554" s="385" t="s">
        <v>3343</v>
      </c>
      <c r="W554" s="386" t="s">
        <v>3343</v>
      </c>
      <c r="X554" s="324" t="s">
        <v>3364</v>
      </c>
      <c r="Y554" s="324" t="s">
        <v>3400</v>
      </c>
      <c r="Z554" s="322" t="s">
        <v>3383</v>
      </c>
      <c r="AA554" s="392">
        <v>5325</v>
      </c>
    </row>
    <row r="555" spans="17:27" ht="13.8">
      <c r="Q555" s="385">
        <f t="shared" si="8"/>
        <v>549</v>
      </c>
      <c r="R555" s="386" t="s">
        <v>2804</v>
      </c>
      <c r="S555" s="386" t="s">
        <v>2805</v>
      </c>
      <c r="T555" s="387" t="s">
        <v>1220</v>
      </c>
      <c r="U555" s="385" t="s">
        <v>2806</v>
      </c>
      <c r="V555" s="385" t="s">
        <v>3098</v>
      </c>
      <c r="W555" s="386" t="s">
        <v>3098</v>
      </c>
      <c r="X555" s="324" t="s">
        <v>3363</v>
      </c>
      <c r="Y555" s="324" t="s">
        <v>3400</v>
      </c>
      <c r="Z555" s="322" t="s">
        <v>3383</v>
      </c>
      <c r="AA555" s="392">
        <v>3270</v>
      </c>
    </row>
    <row r="556" spans="17:27" ht="13.8">
      <c r="Q556" s="385">
        <f t="shared" si="8"/>
        <v>550</v>
      </c>
      <c r="R556" s="386" t="s">
        <v>2807</v>
      </c>
      <c r="S556" s="386" t="s">
        <v>2808</v>
      </c>
      <c r="T556" s="387" t="s">
        <v>1237</v>
      </c>
      <c r="U556" s="385" t="s">
        <v>2809</v>
      </c>
      <c r="V556" s="385" t="s">
        <v>2808</v>
      </c>
      <c r="W556" s="386" t="s">
        <v>3300</v>
      </c>
      <c r="X556" s="324" t="s">
        <v>3362</v>
      </c>
      <c r="Y556" s="324" t="s">
        <v>3398</v>
      </c>
      <c r="Z556" s="322" t="s">
        <v>3385</v>
      </c>
      <c r="AA556" s="392">
        <v>31629</v>
      </c>
    </row>
    <row r="557" spans="17:27" ht="13.8">
      <c r="Q557" s="385">
        <f t="shared" si="8"/>
        <v>551</v>
      </c>
      <c r="R557" s="386" t="s">
        <v>2810</v>
      </c>
      <c r="S557" s="386" t="s">
        <v>2811</v>
      </c>
      <c r="T557" s="387" t="s">
        <v>1274</v>
      </c>
      <c r="U557" s="385" t="s">
        <v>2812</v>
      </c>
      <c r="V557" s="385" t="s">
        <v>2811</v>
      </c>
      <c r="W557" s="386" t="s">
        <v>3301</v>
      </c>
      <c r="X557" s="324" t="s">
        <v>3362</v>
      </c>
      <c r="Y557" s="324" t="s">
        <v>3399</v>
      </c>
      <c r="Z557" s="322" t="s">
        <v>3381</v>
      </c>
      <c r="AA557" s="392">
        <v>1471</v>
      </c>
    </row>
    <row r="558" spans="17:27" ht="13.8">
      <c r="Q558" s="385">
        <f t="shared" si="8"/>
        <v>552</v>
      </c>
      <c r="R558" s="386" t="s">
        <v>2813</v>
      </c>
      <c r="S558" s="386" t="s">
        <v>2814</v>
      </c>
      <c r="T558" s="387" t="s">
        <v>1213</v>
      </c>
      <c r="U558" s="385" t="s">
        <v>2815</v>
      </c>
      <c r="V558" s="385" t="s">
        <v>2814</v>
      </c>
      <c r="W558" s="386" t="s">
        <v>3302</v>
      </c>
      <c r="X558" s="324" t="s">
        <v>3362</v>
      </c>
      <c r="Y558" s="324" t="s">
        <v>3399</v>
      </c>
      <c r="Z558" s="322" t="s">
        <v>3397</v>
      </c>
      <c r="AA558" s="392">
        <v>39499</v>
      </c>
    </row>
    <row r="559" spans="17:27" ht="13.8">
      <c r="Q559" s="385">
        <f t="shared" si="8"/>
        <v>553</v>
      </c>
      <c r="R559" s="386" t="s">
        <v>2816</v>
      </c>
      <c r="S559" s="386" t="s">
        <v>2817</v>
      </c>
      <c r="T559" s="387" t="s">
        <v>1220</v>
      </c>
      <c r="U559" s="385" t="s">
        <v>2818</v>
      </c>
      <c r="V559" s="385" t="s">
        <v>3099</v>
      </c>
      <c r="W559" s="386" t="s">
        <v>3099</v>
      </c>
      <c r="X559" s="324" t="s">
        <v>3363</v>
      </c>
      <c r="Y559" s="324" t="s">
        <v>3398</v>
      </c>
      <c r="Z559" s="322" t="s">
        <v>3379</v>
      </c>
      <c r="AA559" s="392">
        <v>2472</v>
      </c>
    </row>
    <row r="560" spans="17:27" ht="13.8">
      <c r="Q560" s="385">
        <f t="shared" si="8"/>
        <v>554</v>
      </c>
      <c r="R560" s="386" t="s">
        <v>2819</v>
      </c>
      <c r="S560" s="386" t="s">
        <v>2820</v>
      </c>
      <c r="T560" s="387" t="s">
        <v>1399</v>
      </c>
      <c r="U560" s="385" t="s">
        <v>2821</v>
      </c>
      <c r="V560" s="385" t="s">
        <v>2820</v>
      </c>
      <c r="W560" s="386" t="s">
        <v>3303</v>
      </c>
      <c r="X560" s="324" t="s">
        <v>3362</v>
      </c>
      <c r="Y560" s="324" t="s">
        <v>3398</v>
      </c>
      <c r="Z560" s="322" t="s">
        <v>3386</v>
      </c>
      <c r="AA560" s="392">
        <v>99585</v>
      </c>
    </row>
    <row r="561" spans="17:27" ht="13.8">
      <c r="Q561" s="385">
        <f t="shared" si="8"/>
        <v>555</v>
      </c>
      <c r="R561" s="386" t="s">
        <v>2822</v>
      </c>
      <c r="S561" s="386" t="s">
        <v>2823</v>
      </c>
      <c r="T561" s="387" t="s">
        <v>1433</v>
      </c>
      <c r="U561" s="385" t="s">
        <v>2824</v>
      </c>
      <c r="V561" s="385" t="s">
        <v>3344</v>
      </c>
      <c r="W561" s="386" t="s">
        <v>3344</v>
      </c>
      <c r="X561" s="324" t="s">
        <v>3364</v>
      </c>
      <c r="Y561" s="324" t="s">
        <v>3398</v>
      </c>
      <c r="Z561" s="322" t="s">
        <v>3386</v>
      </c>
      <c r="AA561" s="392">
        <v>10174</v>
      </c>
    </row>
    <row r="562" spans="17:27" ht="13.8">
      <c r="Q562" s="385">
        <f t="shared" si="8"/>
        <v>556</v>
      </c>
      <c r="R562" s="386" t="s">
        <v>2825</v>
      </c>
      <c r="S562" s="386" t="s">
        <v>2826</v>
      </c>
      <c r="T562" s="387" t="s">
        <v>1433</v>
      </c>
      <c r="U562" s="385" t="s">
        <v>2827</v>
      </c>
      <c r="V562" s="385" t="s">
        <v>3100</v>
      </c>
      <c r="W562" s="386" t="s">
        <v>3100</v>
      </c>
      <c r="X562" s="324" t="s">
        <v>3363</v>
      </c>
      <c r="Y562" s="324" t="s">
        <v>3398</v>
      </c>
      <c r="Z562" s="322" t="s">
        <v>3379</v>
      </c>
      <c r="AA562" s="392">
        <v>3055</v>
      </c>
    </row>
    <row r="563" spans="17:27" ht="13.8">
      <c r="Q563" s="385">
        <f t="shared" si="8"/>
        <v>557</v>
      </c>
      <c r="R563" s="386" t="s">
        <v>2828</v>
      </c>
      <c r="S563" s="386" t="s">
        <v>2829</v>
      </c>
      <c r="T563" s="387" t="s">
        <v>1176</v>
      </c>
      <c r="U563" s="385" t="s">
        <v>2830</v>
      </c>
      <c r="V563" s="385" t="s">
        <v>3101</v>
      </c>
      <c r="W563" s="386" t="s">
        <v>3101</v>
      </c>
      <c r="X563" s="324" t="s">
        <v>3363</v>
      </c>
      <c r="Y563" s="324" t="s">
        <v>3398</v>
      </c>
      <c r="Z563" s="322" t="s">
        <v>3379</v>
      </c>
      <c r="AA563" s="392">
        <v>5730</v>
      </c>
    </row>
    <row r="564" spans="17:27" ht="13.8">
      <c r="Q564" s="385">
        <f t="shared" si="8"/>
        <v>558</v>
      </c>
      <c r="R564" s="386" t="s">
        <v>2831</v>
      </c>
      <c r="S564" s="386" t="s">
        <v>2832</v>
      </c>
      <c r="T564" s="387" t="s">
        <v>1306</v>
      </c>
      <c r="U564" s="385" t="s">
        <v>2833</v>
      </c>
      <c r="V564" s="385" t="s">
        <v>3102</v>
      </c>
      <c r="W564" s="386" t="s">
        <v>3102</v>
      </c>
      <c r="X564" s="324" t="s">
        <v>3363</v>
      </c>
      <c r="Y564" s="324" t="s">
        <v>3398</v>
      </c>
      <c r="Z564" s="322" t="s">
        <v>3379</v>
      </c>
      <c r="AA564" s="392">
        <v>11819</v>
      </c>
    </row>
    <row r="565" spans="17:27" ht="13.8">
      <c r="Q565" s="385">
        <f t="shared" si="8"/>
        <v>559</v>
      </c>
      <c r="R565" s="386" t="s">
        <v>2834</v>
      </c>
      <c r="S565" s="386" t="s">
        <v>2835</v>
      </c>
      <c r="T565" s="387" t="s">
        <v>1237</v>
      </c>
      <c r="U565" s="385" t="s">
        <v>2836</v>
      </c>
      <c r="V565" s="385" t="s">
        <v>2835</v>
      </c>
      <c r="W565" s="386" t="s">
        <v>3304</v>
      </c>
      <c r="X565" s="324" t="s">
        <v>3362</v>
      </c>
      <c r="Y565" s="324" t="s">
        <v>3399</v>
      </c>
      <c r="Z565" s="322" t="s">
        <v>3381</v>
      </c>
      <c r="AA565" s="392">
        <v>1788</v>
      </c>
    </row>
    <row r="566" spans="17:27" ht="13.8">
      <c r="Q566" s="385">
        <f t="shared" si="8"/>
        <v>560</v>
      </c>
      <c r="R566" s="386" t="s">
        <v>2837</v>
      </c>
      <c r="S566" s="386" t="s">
        <v>2838</v>
      </c>
      <c r="T566" s="387" t="s">
        <v>1213</v>
      </c>
      <c r="U566" s="385" t="s">
        <v>2839</v>
      </c>
      <c r="V566" s="385" t="s">
        <v>3103</v>
      </c>
      <c r="W566" s="386" t="s">
        <v>3103</v>
      </c>
      <c r="X566" s="324" t="s">
        <v>3363</v>
      </c>
      <c r="Y566" s="324" t="s">
        <v>3398</v>
      </c>
      <c r="Z566" s="322" t="s">
        <v>3379</v>
      </c>
      <c r="AA566" s="392">
        <v>2978</v>
      </c>
    </row>
    <row r="567" spans="17:27" ht="13.8">
      <c r="Q567" s="385">
        <f t="shared" si="8"/>
        <v>561</v>
      </c>
      <c r="R567" s="386" t="s">
        <v>2840</v>
      </c>
      <c r="S567" s="386" t="s">
        <v>2841</v>
      </c>
      <c r="T567" s="387" t="s">
        <v>1176</v>
      </c>
      <c r="U567" s="385" t="s">
        <v>2842</v>
      </c>
      <c r="V567" s="385" t="s">
        <v>3104</v>
      </c>
      <c r="W567" s="386" t="s">
        <v>3104</v>
      </c>
      <c r="X567" s="324" t="s">
        <v>3363</v>
      </c>
      <c r="Y567" s="324" t="s">
        <v>3398</v>
      </c>
      <c r="Z567" s="322" t="s">
        <v>3379</v>
      </c>
      <c r="AA567" s="392">
        <v>7626</v>
      </c>
    </row>
    <row r="568" spans="17:27" ht="13.8">
      <c r="Q568" s="385">
        <f t="shared" si="8"/>
        <v>562</v>
      </c>
      <c r="R568" s="386" t="s">
        <v>2843</v>
      </c>
      <c r="S568" s="386" t="s">
        <v>2844</v>
      </c>
      <c r="T568" s="387" t="s">
        <v>1186</v>
      </c>
      <c r="U568" s="385" t="s">
        <v>2845</v>
      </c>
      <c r="V568" s="385" t="s">
        <v>3105</v>
      </c>
      <c r="W568" s="386" t="s">
        <v>3105</v>
      </c>
      <c r="X568" s="324" t="s">
        <v>3363</v>
      </c>
      <c r="Y568" s="324" t="s">
        <v>3398</v>
      </c>
      <c r="Z568" s="322" t="s">
        <v>3379</v>
      </c>
      <c r="AA568" s="392">
        <v>3505</v>
      </c>
    </row>
    <row r="569" spans="17:27" ht="13.8">
      <c r="Q569" s="385">
        <f t="shared" si="8"/>
        <v>563</v>
      </c>
      <c r="R569" s="386" t="s">
        <v>2846</v>
      </c>
      <c r="S569" s="386" t="s">
        <v>2847</v>
      </c>
      <c r="T569" s="387" t="s">
        <v>1433</v>
      </c>
      <c r="U569" s="385" t="s">
        <v>2848</v>
      </c>
      <c r="V569" s="385" t="s">
        <v>2847</v>
      </c>
      <c r="W569" s="386" t="s">
        <v>3305</v>
      </c>
      <c r="X569" s="324" t="s">
        <v>3362</v>
      </c>
      <c r="Y569" s="324" t="s">
        <v>3399</v>
      </c>
      <c r="Z569" s="322" t="s">
        <v>3384</v>
      </c>
      <c r="AA569" s="392">
        <v>10200</v>
      </c>
    </row>
    <row r="570" spans="17:27" ht="13.8">
      <c r="Q570" s="385">
        <f t="shared" si="8"/>
        <v>564</v>
      </c>
      <c r="R570" s="386" t="s">
        <v>2849</v>
      </c>
      <c r="S570" s="386" t="s">
        <v>2850</v>
      </c>
      <c r="T570" s="387" t="s">
        <v>1237</v>
      </c>
      <c r="U570" s="385" t="s">
        <v>2851</v>
      </c>
      <c r="V570" s="385" t="s">
        <v>3106</v>
      </c>
      <c r="W570" s="386" t="s">
        <v>3106</v>
      </c>
      <c r="X570" s="324" t="s">
        <v>3363</v>
      </c>
      <c r="Y570" s="324" t="s">
        <v>3398</v>
      </c>
      <c r="Z570" s="322" t="s">
        <v>3379</v>
      </c>
      <c r="AA570" s="392">
        <v>802</v>
      </c>
    </row>
    <row r="571" spans="17:27" ht="13.8">
      <c r="Q571" s="385">
        <f t="shared" si="8"/>
        <v>565</v>
      </c>
      <c r="R571" s="386" t="s">
        <v>2852</v>
      </c>
      <c r="S571" s="386" t="s">
        <v>2853</v>
      </c>
      <c r="T571" s="387" t="s">
        <v>1176</v>
      </c>
      <c r="U571" s="385" t="s">
        <v>2854</v>
      </c>
      <c r="V571" s="385" t="s">
        <v>2853</v>
      </c>
      <c r="W571" s="386" t="s">
        <v>3306</v>
      </c>
      <c r="X571" s="324" t="s">
        <v>3362</v>
      </c>
      <c r="Y571" s="324" t="s">
        <v>3399</v>
      </c>
      <c r="Z571" s="322" t="s">
        <v>3384</v>
      </c>
      <c r="AA571" s="392">
        <v>16696</v>
      </c>
    </row>
    <row r="572" spans="17:27" ht="13.8">
      <c r="Q572" s="385">
        <f t="shared" si="8"/>
        <v>566</v>
      </c>
      <c r="R572" s="940" t="s">
        <v>3705</v>
      </c>
      <c r="S572" s="386" t="s">
        <v>3729</v>
      </c>
      <c r="T572" t="s">
        <v>1172</v>
      </c>
      <c r="U572" s="385" t="s">
        <v>3750</v>
      </c>
      <c r="V572" s="385" t="s">
        <v>1172</v>
      </c>
      <c r="W572" s="386" t="s">
        <v>1172</v>
      </c>
      <c r="X572" s="324" t="s">
        <v>455</v>
      </c>
      <c r="Y572" s="324" t="s">
        <v>3771</v>
      </c>
      <c r="AA572" s="392">
        <v>274549</v>
      </c>
    </row>
    <row r="573" spans="17:27" ht="13.8">
      <c r="Q573" s="385">
        <f t="shared" si="8"/>
        <v>567</v>
      </c>
      <c r="R573" s="940" t="s">
        <v>3706</v>
      </c>
      <c r="S573" s="386" t="s">
        <v>3730</v>
      </c>
      <c r="T573" t="s">
        <v>1176</v>
      </c>
      <c r="U573" s="385" t="s">
        <v>3751</v>
      </c>
      <c r="V573" s="385" t="s">
        <v>1176</v>
      </c>
      <c r="W573" s="386" t="s">
        <v>1176</v>
      </c>
      <c r="X573" s="324" t="s">
        <v>455</v>
      </c>
      <c r="Y573" s="324" t="s">
        <v>3771</v>
      </c>
      <c r="AA573" s="392">
        <v>905116</v>
      </c>
    </row>
    <row r="574" spans="17:27" ht="13.8">
      <c r="Q574" s="385">
        <f t="shared" si="8"/>
        <v>568</v>
      </c>
      <c r="R574" s="940" t="s">
        <v>3707</v>
      </c>
      <c r="S574" s="386" t="s">
        <v>3731</v>
      </c>
      <c r="T574" t="s">
        <v>1237</v>
      </c>
      <c r="U574" s="385" t="s">
        <v>3752</v>
      </c>
      <c r="V574" s="385" t="s">
        <v>1237</v>
      </c>
      <c r="W574" s="386" t="s">
        <v>1237</v>
      </c>
      <c r="X574" s="324" t="s">
        <v>455</v>
      </c>
      <c r="Y574" s="324" t="s">
        <v>3771</v>
      </c>
      <c r="AA574" s="392">
        <v>448734</v>
      </c>
    </row>
    <row r="575" spans="17:27" ht="13.8">
      <c r="Q575" s="385">
        <f t="shared" si="8"/>
        <v>569</v>
      </c>
      <c r="R575" s="940" t="s">
        <v>3708</v>
      </c>
      <c r="S575" s="386" t="s">
        <v>3732</v>
      </c>
      <c r="T575" t="s">
        <v>1213</v>
      </c>
      <c r="U575" s="385" t="s">
        <v>3753</v>
      </c>
      <c r="V575" s="385" t="s">
        <v>1213</v>
      </c>
      <c r="W575" s="386" t="s">
        <v>1213</v>
      </c>
      <c r="X575" s="324" t="s">
        <v>455</v>
      </c>
      <c r="Y575" s="324" t="s">
        <v>3771</v>
      </c>
      <c r="AA575" s="392">
        <v>513657</v>
      </c>
    </row>
    <row r="576" spans="17:27" ht="13.8">
      <c r="Q576" s="385">
        <f t="shared" si="8"/>
        <v>570</v>
      </c>
      <c r="R576" s="940" t="s">
        <v>3709</v>
      </c>
      <c r="S576" s="386" t="s">
        <v>3733</v>
      </c>
      <c r="T576" t="s">
        <v>1220</v>
      </c>
      <c r="U576" s="385" t="s">
        <v>3754</v>
      </c>
      <c r="V576" s="385" t="s">
        <v>1220</v>
      </c>
      <c r="W576" s="386" t="s">
        <v>1220</v>
      </c>
      <c r="X576" s="324" t="s">
        <v>455</v>
      </c>
      <c r="Y576" s="324" t="s">
        <v>3771</v>
      </c>
      <c r="AA576" s="392">
        <v>97265</v>
      </c>
    </row>
    <row r="577" spans="17:27" ht="13.8">
      <c r="Q577" s="385">
        <f t="shared" si="8"/>
        <v>571</v>
      </c>
      <c r="R577" s="940" t="s">
        <v>3710</v>
      </c>
      <c r="S577" s="386" t="s">
        <v>3734</v>
      </c>
      <c r="T577" t="s">
        <v>1344</v>
      </c>
      <c r="U577" s="385" t="s">
        <v>3755</v>
      </c>
      <c r="V577" s="385" t="s">
        <v>1344</v>
      </c>
      <c r="W577" s="386" t="s">
        <v>1344</v>
      </c>
      <c r="X577" s="324" t="s">
        <v>455</v>
      </c>
      <c r="Y577" s="324" t="s">
        <v>3771</v>
      </c>
      <c r="AA577" s="392">
        <v>156898</v>
      </c>
    </row>
    <row r="578" spans="17:27" ht="13.8">
      <c r="Q578" s="385">
        <f t="shared" si="8"/>
        <v>572</v>
      </c>
      <c r="R578" s="940" t="s">
        <v>3711</v>
      </c>
      <c r="S578" s="386" t="s">
        <v>3735</v>
      </c>
      <c r="T578" t="s">
        <v>1258</v>
      </c>
      <c r="U578" s="385" t="s">
        <v>3756</v>
      </c>
      <c r="V578" s="385" t="s">
        <v>1258</v>
      </c>
      <c r="W578" s="386" t="s">
        <v>1258</v>
      </c>
      <c r="X578" s="324" t="s">
        <v>455</v>
      </c>
      <c r="Y578" s="324" t="s">
        <v>3771</v>
      </c>
      <c r="AA578" s="392">
        <v>783969</v>
      </c>
    </row>
    <row r="579" spans="17:27" ht="13.8">
      <c r="Q579" s="385">
        <f t="shared" si="8"/>
        <v>573</v>
      </c>
      <c r="R579" s="940" t="s">
        <v>3712</v>
      </c>
      <c r="S579" s="386" t="s">
        <v>3736</v>
      </c>
      <c r="T579" t="s">
        <v>1433</v>
      </c>
      <c r="U579" s="385" t="s">
        <v>3757</v>
      </c>
      <c r="V579" s="385" t="s">
        <v>1433</v>
      </c>
      <c r="W579" s="386" t="s">
        <v>1433</v>
      </c>
      <c r="X579" s="324" t="s">
        <v>455</v>
      </c>
      <c r="Y579" s="324" t="s">
        <v>3771</v>
      </c>
      <c r="AA579" s="392">
        <v>288288</v>
      </c>
    </row>
    <row r="580" spans="17:27" ht="13.8">
      <c r="Q580" s="385">
        <f t="shared" si="8"/>
        <v>574</v>
      </c>
      <c r="R580" s="940" t="s">
        <v>3713</v>
      </c>
      <c r="S580" s="386" t="s">
        <v>3737</v>
      </c>
      <c r="T580" t="s">
        <v>1244</v>
      </c>
      <c r="U580" s="385" t="s">
        <v>3758</v>
      </c>
      <c r="V580" s="385" t="s">
        <v>1244</v>
      </c>
      <c r="W580" s="386" t="s">
        <v>1244</v>
      </c>
      <c r="X580" s="324" t="s">
        <v>455</v>
      </c>
      <c r="Y580" s="324" t="s">
        <v>3771</v>
      </c>
      <c r="AA580" s="392">
        <v>634266</v>
      </c>
    </row>
    <row r="581" spans="17:27" ht="13.8">
      <c r="Q581" s="385">
        <f t="shared" si="8"/>
        <v>575</v>
      </c>
      <c r="R581" s="940" t="s">
        <v>3714</v>
      </c>
      <c r="S581" s="386" t="s">
        <v>3738</v>
      </c>
      <c r="T581" t="s">
        <v>1293</v>
      </c>
      <c r="U581" s="385" t="s">
        <v>3759</v>
      </c>
      <c r="V581" s="385" t="s">
        <v>1293</v>
      </c>
      <c r="W581" s="386" t="s">
        <v>1293</v>
      </c>
      <c r="X581" s="324" t="s">
        <v>455</v>
      </c>
      <c r="Y581" s="324" t="s">
        <v>3771</v>
      </c>
      <c r="AA581" s="392">
        <v>128349</v>
      </c>
    </row>
    <row r="582" spans="17:27" ht="13.8">
      <c r="Q582" s="385">
        <f t="shared" si="8"/>
        <v>576</v>
      </c>
      <c r="R582" s="940" t="s">
        <v>3715</v>
      </c>
      <c r="S582" s="386" t="s">
        <v>3739</v>
      </c>
      <c r="T582" t="s">
        <v>1539</v>
      </c>
      <c r="U582" s="385" t="s">
        <v>3760</v>
      </c>
      <c r="V582" s="385" t="s">
        <v>1539</v>
      </c>
      <c r="W582" s="386" t="s">
        <v>1539</v>
      </c>
      <c r="X582" s="324" t="s">
        <v>455</v>
      </c>
      <c r="Y582" s="324" t="s">
        <v>3771</v>
      </c>
      <c r="AA582" s="392">
        <v>350248</v>
      </c>
    </row>
    <row r="583" spans="17:27" ht="13.8">
      <c r="Q583" s="385">
        <f t="shared" si="8"/>
        <v>577</v>
      </c>
      <c r="R583" s="940" t="s">
        <v>3716</v>
      </c>
      <c r="S583" s="386" t="s">
        <v>3740</v>
      </c>
      <c r="T583" t="s">
        <v>1399</v>
      </c>
      <c r="U583" s="385" t="s">
        <v>3761</v>
      </c>
      <c r="V583" s="385" t="s">
        <v>1399</v>
      </c>
      <c r="W583" s="386" t="s">
        <v>1399</v>
      </c>
      <c r="X583" s="324" t="s">
        <v>455</v>
      </c>
      <c r="Y583" s="324" t="s">
        <v>3771</v>
      </c>
      <c r="AA583" s="392">
        <v>809858</v>
      </c>
    </row>
    <row r="584" spans="17:27" ht="13.8">
      <c r="Q584" s="385">
        <f t="shared" si="8"/>
        <v>578</v>
      </c>
      <c r="R584" s="940" t="s">
        <v>3717</v>
      </c>
      <c r="S584" s="386" t="s">
        <v>3741</v>
      </c>
      <c r="T584" t="s">
        <v>1168</v>
      </c>
      <c r="U584" s="385" t="s">
        <v>3762</v>
      </c>
      <c r="V584" s="385" t="s">
        <v>1168</v>
      </c>
      <c r="W584" s="386" t="s">
        <v>1168</v>
      </c>
      <c r="X584" s="324" t="s">
        <v>455</v>
      </c>
      <c r="Y584" s="324" t="s">
        <v>3771</v>
      </c>
      <c r="AA584" s="392">
        <v>630380</v>
      </c>
    </row>
    <row r="585" spans="17:27" ht="13.8">
      <c r="Q585" s="385">
        <f t="shared" ref="Q585:Q592" si="9">Q584+1</f>
        <v>579</v>
      </c>
      <c r="R585" s="940" t="s">
        <v>3718</v>
      </c>
      <c r="S585" s="386" t="s">
        <v>3742</v>
      </c>
      <c r="T585" t="s">
        <v>1316</v>
      </c>
      <c r="U585" s="385" t="s">
        <v>3763</v>
      </c>
      <c r="V585" s="385" t="s">
        <v>1316</v>
      </c>
      <c r="W585" s="386" t="s">
        <v>1316</v>
      </c>
      <c r="X585" s="324" t="s">
        <v>455</v>
      </c>
      <c r="Y585" s="324" t="s">
        <v>3771</v>
      </c>
      <c r="AA585" s="392">
        <v>492276</v>
      </c>
    </row>
    <row r="586" spans="17:27" ht="13.8">
      <c r="Q586" s="385">
        <f t="shared" si="9"/>
        <v>580</v>
      </c>
      <c r="R586" s="940" t="s">
        <v>3719</v>
      </c>
      <c r="S586" s="386" t="s">
        <v>3743</v>
      </c>
      <c r="T586" t="s">
        <v>1227</v>
      </c>
      <c r="U586" s="385" t="s">
        <v>3764</v>
      </c>
      <c r="V586" s="385" t="s">
        <v>1227</v>
      </c>
      <c r="W586" s="386" t="s">
        <v>1227</v>
      </c>
      <c r="X586" s="324" t="s">
        <v>455</v>
      </c>
      <c r="Y586" s="324" t="s">
        <v>3771</v>
      </c>
      <c r="AA586" s="392">
        <v>576567</v>
      </c>
    </row>
    <row r="587" spans="17:27" ht="13.8">
      <c r="Q587" s="385">
        <f t="shared" si="9"/>
        <v>581</v>
      </c>
      <c r="R587" s="940" t="s">
        <v>3720</v>
      </c>
      <c r="S587" s="386" t="s">
        <v>3744</v>
      </c>
      <c r="T587" t="s">
        <v>1306</v>
      </c>
      <c r="U587" s="385" t="s">
        <v>3765</v>
      </c>
      <c r="V587" s="385" t="s">
        <v>1306</v>
      </c>
      <c r="W587" s="386" t="s">
        <v>1306</v>
      </c>
      <c r="X587" s="324" t="s">
        <v>455</v>
      </c>
      <c r="Y587" s="324" t="s">
        <v>3771</v>
      </c>
      <c r="AA587" s="392">
        <v>501226</v>
      </c>
    </row>
    <row r="588" spans="17:27" ht="13.8">
      <c r="Q588" s="385">
        <f t="shared" si="9"/>
        <v>582</v>
      </c>
      <c r="R588" s="940" t="s">
        <v>3721</v>
      </c>
      <c r="S588" s="386" t="s">
        <v>3745</v>
      </c>
      <c r="T588" t="s">
        <v>1186</v>
      </c>
      <c r="U588" s="385" t="s">
        <v>3766</v>
      </c>
      <c r="V588" s="385" t="s">
        <v>1186</v>
      </c>
      <c r="W588" s="386" t="s">
        <v>1186</v>
      </c>
      <c r="X588" s="324" t="s">
        <v>455</v>
      </c>
      <c r="Y588" s="324" t="s">
        <v>3771</v>
      </c>
      <c r="AA588" s="392">
        <v>66083</v>
      </c>
    </row>
    <row r="589" spans="17:27" ht="13.8">
      <c r="Q589" s="385">
        <f t="shared" si="9"/>
        <v>583</v>
      </c>
      <c r="R589" s="940" t="s">
        <v>3722</v>
      </c>
      <c r="S589" s="386" t="s">
        <v>3746</v>
      </c>
      <c r="T589" t="s">
        <v>1254</v>
      </c>
      <c r="U589" s="385" t="s">
        <v>3767</v>
      </c>
      <c r="V589" s="385" t="s">
        <v>1254</v>
      </c>
      <c r="W589" s="386" t="s">
        <v>1254</v>
      </c>
      <c r="X589" s="324" t="s">
        <v>455</v>
      </c>
      <c r="Y589" s="324" t="s">
        <v>3771</v>
      </c>
      <c r="AA589" s="392">
        <v>323444</v>
      </c>
    </row>
    <row r="590" spans="17:27" ht="13.8">
      <c r="Q590" s="385">
        <f t="shared" si="9"/>
        <v>584</v>
      </c>
      <c r="R590" s="940" t="s">
        <v>3723</v>
      </c>
      <c r="S590" s="386" t="s">
        <v>3747</v>
      </c>
      <c r="T590" t="s">
        <v>1197</v>
      </c>
      <c r="U590" s="385" t="s">
        <v>3768</v>
      </c>
      <c r="V590" s="385" t="s">
        <v>1197</v>
      </c>
      <c r="W590" s="386" t="s">
        <v>1197</v>
      </c>
      <c r="X590" s="324" t="s">
        <v>455</v>
      </c>
      <c r="Y590" s="324" t="s">
        <v>3771</v>
      </c>
      <c r="AA590" s="392">
        <v>149265</v>
      </c>
    </row>
    <row r="591" spans="17:27" ht="13.8">
      <c r="Q591" s="385">
        <f t="shared" si="9"/>
        <v>585</v>
      </c>
      <c r="R591" s="940" t="s">
        <v>3724</v>
      </c>
      <c r="S591" s="386" t="s">
        <v>3748</v>
      </c>
      <c r="T591" t="s">
        <v>1274</v>
      </c>
      <c r="U591" s="385" t="s">
        <v>3769</v>
      </c>
      <c r="V591" s="385" t="s">
        <v>1274</v>
      </c>
      <c r="W591" s="386" t="s">
        <v>1274</v>
      </c>
      <c r="X591" s="324" t="s">
        <v>455</v>
      </c>
      <c r="Y591" s="324" t="s">
        <v>3771</v>
      </c>
      <c r="AA591" s="392">
        <v>536499</v>
      </c>
    </row>
    <row r="592" spans="17:27" ht="13.8">
      <c r="Q592" s="385">
        <f t="shared" si="9"/>
        <v>586</v>
      </c>
      <c r="R592" s="940" t="s">
        <v>3725</v>
      </c>
      <c r="S592" s="386" t="s">
        <v>3749</v>
      </c>
      <c r="T592" t="s">
        <v>1190</v>
      </c>
      <c r="U592" s="385" t="s">
        <v>3770</v>
      </c>
      <c r="V592" s="385" t="s">
        <v>1190</v>
      </c>
      <c r="W592" s="386" t="s">
        <v>1190</v>
      </c>
      <c r="X592" s="324" t="s">
        <v>455</v>
      </c>
      <c r="Y592" s="324" t="s">
        <v>3771</v>
      </c>
      <c r="AA592" s="392">
        <v>108692</v>
      </c>
    </row>
  </sheetData>
  <sheetProtection password="CAF9" sheet="1" objects="1" scenarios="1"/>
  <autoFilter ref="Z6:Z571" xr:uid="{00000000-0009-0000-0000-000002000000}"/>
  <customSheetViews>
    <customSheetView guid="{AC653BD0-46E3-42CB-9C76-32121A57B65A}" showAutoFilter="1" hiddenColumns="1" topLeftCell="C1">
      <selection activeCell="I37" sqref="I37"/>
      <pageMargins left="0.5" right="0.5" top="0.5" bottom="0.5" header="0.5" footer="0.5"/>
      <pageSetup paperSize="5" orientation="portrait" r:id="rId1"/>
      <headerFooter alignWithMargins="0"/>
      <autoFilter ref="Z6:Z571" xr:uid="{00000000-0000-0000-0000-000000000000}"/>
    </customSheetView>
    <customSheetView guid="{B165479B-DC25-403C-9595-F1A88A4AA9A2}" showAutoFilter="1" hiddenColumns="1" topLeftCell="C4">
      <selection activeCell="D23" sqref="D23"/>
      <pageMargins left="0.5" right="0.5" top="0.5" bottom="0.5" header="0.5" footer="0.5"/>
      <pageSetup paperSize="5" orientation="portrait" r:id="rId2"/>
      <headerFooter alignWithMargins="0"/>
      <autoFilter ref="Z6:Z571" xr:uid="{00000000-0000-0000-0000-000000000000}"/>
    </customSheetView>
    <customSheetView guid="{A64E4C9E-A3DA-4AAA-8607-F524450B9436}" showAutoFilter="1" hiddenColumns="1" topLeftCell="C4">
      <selection activeCell="D23" sqref="D23"/>
      <pageMargins left="0.5" right="0.5" top="0.5" bottom="0.5" header="0.5" footer="0.5"/>
      <pageSetup paperSize="5" orientation="portrait" r:id="rId3"/>
      <headerFooter alignWithMargins="0"/>
      <autoFilter ref="Z6:Z571" xr:uid="{00000000-0000-0000-0000-000000000000}"/>
    </customSheetView>
    <customSheetView guid="{AB4FBD91-4533-473A-9702-569FF6402073}" showAutoFilter="1" hiddenColumns="1" topLeftCell="C1">
      <selection activeCell="D23" sqref="D23"/>
      <pageMargins left="0.5" right="0.5" top="0.5" bottom="0.5" header="0.5" footer="0.5"/>
      <pageSetup paperSize="5" orientation="portrait" r:id="rId4"/>
      <headerFooter alignWithMargins="0"/>
      <autoFilter ref="Z6:Z571" xr:uid="{00000000-0000-0000-0000-000000000000}"/>
    </customSheetView>
  </customSheetViews>
  <mergeCells count="2">
    <mergeCell ref="D6:E6"/>
    <mergeCell ref="C2:E2"/>
  </mergeCells>
  <phoneticPr fontId="0" type="noConversion"/>
  <pageMargins left="0.5" right="0.5" top="0.5" bottom="0.5" header="0.5" footer="0.5"/>
  <pageSetup paperSize="5" orientation="portrait" r:id="rId5"/>
  <headerFooter alignWithMargins="0"/>
  <drawing r:id="rId6"/>
  <legacyDrawing r:id="rId7"/>
  <mc:AlternateContent xmlns:mc="http://schemas.openxmlformats.org/markup-compatibility/2006">
    <mc:Choice Requires="x14">
      <controls>
        <mc:AlternateContent xmlns:mc="http://schemas.openxmlformats.org/markup-compatibility/2006">
          <mc:Choice Requires="x14">
            <control shapeId="39937" r:id="rId8" name="Drop Down 1">
              <controlPr defaultSize="0" autoLine="0" autoPict="0">
                <anchor moveWithCells="1">
                  <from>
                    <xdr:col>3</xdr:col>
                    <xdr:colOff>22860</xdr:colOff>
                    <xdr:row>7</xdr:row>
                    <xdr:rowOff>7620</xdr:rowOff>
                  </from>
                  <to>
                    <xdr:col>4</xdr:col>
                    <xdr:colOff>0</xdr:colOff>
                    <xdr:row>7</xdr:row>
                    <xdr:rowOff>251460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B2:K54"/>
  <sheetViews>
    <sheetView topLeftCell="A37" zoomScaleNormal="100" workbookViewId="0">
      <selection activeCell="B3" sqref="B3:O3"/>
    </sheetView>
  </sheetViews>
  <sheetFormatPr defaultColWidth="9.109375" defaultRowHeight="13.2"/>
  <cols>
    <col min="1" max="4" width="4.6640625" style="277" customWidth="1"/>
    <col min="5" max="5" width="63.6640625" style="277" customWidth="1"/>
    <col min="6" max="6" width="16.5546875" style="355" customWidth="1"/>
    <col min="7" max="7" width="11.109375" style="277" bestFit="1" customWidth="1"/>
    <col min="8" max="8" width="39.6640625" style="277" bestFit="1" customWidth="1"/>
    <col min="9" max="16384" width="9.109375" style="277"/>
  </cols>
  <sheetData>
    <row r="2" spans="2:11" ht="22.8">
      <c r="B2" s="1592" t="str">
        <f>"  CASH  RECONCILIATION  DECEMBER  31, "&amp;TEXT('KEY INPUTS'!D34,"0")&amp;" (cont'd)  "</f>
        <v xml:space="preserve">  CASH  RECONCILIATION  DECEMBER  31, 2019 (cont'd)  </v>
      </c>
      <c r="C2" s="1592"/>
      <c r="D2" s="1592"/>
      <c r="E2" s="1592"/>
      <c r="F2" s="1592"/>
      <c r="G2" s="346"/>
      <c r="H2" s="346"/>
      <c r="I2" s="346"/>
    </row>
    <row r="4" spans="2:11" ht="16.2" thickBot="1">
      <c r="B4" s="1591" t="s">
        <v>797</v>
      </c>
      <c r="C4" s="1591"/>
      <c r="D4" s="1591"/>
      <c r="E4" s="1591"/>
      <c r="F4" s="1591"/>
    </row>
    <row r="5" spans="2:11" ht="21" customHeight="1" thickTop="1">
      <c r="B5" s="347"/>
      <c r="C5" s="347"/>
      <c r="D5" s="347"/>
      <c r="E5" s="347"/>
      <c r="F5" s="348"/>
    </row>
    <row r="6" spans="2:11" ht="21" customHeight="1">
      <c r="B6" s="567" t="s">
        <v>3830</v>
      </c>
      <c r="C6" s="567"/>
      <c r="D6" s="567"/>
      <c r="E6" s="567"/>
      <c r="F6" s="568">
        <v>6447082.3099999996</v>
      </c>
      <c r="H6" s="258"/>
      <c r="I6" s="258"/>
      <c r="J6" s="258"/>
      <c r="K6" s="258"/>
    </row>
    <row r="7" spans="2:11" ht="21" customHeight="1">
      <c r="B7" s="567" t="s">
        <v>3836</v>
      </c>
      <c r="C7" s="567"/>
      <c r="D7" s="567"/>
      <c r="E7" s="567"/>
      <c r="F7" s="568">
        <v>22010.31</v>
      </c>
      <c r="G7" s="327"/>
      <c r="H7" s="258"/>
      <c r="I7" s="258"/>
      <c r="J7" s="258"/>
      <c r="K7" s="258"/>
    </row>
    <row r="8" spans="2:11" ht="21" customHeight="1">
      <c r="B8" s="567"/>
      <c r="C8" s="567"/>
      <c r="D8" s="567"/>
      <c r="E8" s="567"/>
      <c r="F8" s="568"/>
      <c r="G8" s="327"/>
      <c r="H8" s="258"/>
      <c r="I8" s="258"/>
      <c r="J8" s="258"/>
      <c r="K8" s="258"/>
    </row>
    <row r="9" spans="2:11" ht="21" customHeight="1">
      <c r="B9" s="567" t="s">
        <v>3831</v>
      </c>
      <c r="C9" s="567"/>
      <c r="D9" s="567"/>
      <c r="E9" s="567"/>
      <c r="F9" s="568">
        <v>290690.42</v>
      </c>
      <c r="G9" s="327"/>
      <c r="H9" s="377"/>
      <c r="I9" s="258"/>
      <c r="J9" s="258"/>
      <c r="K9" s="258"/>
    </row>
    <row r="10" spans="2:11" ht="21" customHeight="1">
      <c r="B10" s="567"/>
      <c r="C10" s="567"/>
      <c r="D10" s="567"/>
      <c r="E10" s="567"/>
      <c r="F10" s="568"/>
      <c r="G10" s="327"/>
      <c r="H10" s="258"/>
      <c r="I10" s="258"/>
      <c r="J10" s="258"/>
      <c r="K10" s="258"/>
    </row>
    <row r="11" spans="2:11" ht="21" customHeight="1">
      <c r="B11" s="567" t="s">
        <v>3834</v>
      </c>
      <c r="C11" s="567"/>
      <c r="D11" s="567"/>
      <c r="E11" s="567"/>
      <c r="F11" s="568">
        <v>5525.8</v>
      </c>
      <c r="G11" s="327"/>
      <c r="H11" s="258"/>
      <c r="I11" s="258"/>
      <c r="J11" s="258"/>
      <c r="K11" s="258"/>
    </row>
    <row r="12" spans="2:11" ht="21" customHeight="1">
      <c r="B12" s="567"/>
      <c r="C12" s="567"/>
      <c r="D12" s="567"/>
      <c r="E12" s="567"/>
      <c r="F12" s="568"/>
      <c r="G12" s="327"/>
      <c r="H12" s="258"/>
      <c r="I12" s="351"/>
      <c r="J12" s="258"/>
      <c r="K12" s="258"/>
    </row>
    <row r="13" spans="2:11" ht="21" customHeight="1">
      <c r="B13" s="567" t="s">
        <v>3835</v>
      </c>
      <c r="C13" s="567"/>
      <c r="D13" s="567"/>
      <c r="E13" s="567"/>
      <c r="F13" s="568">
        <v>690724.02</v>
      </c>
      <c r="G13" s="327"/>
      <c r="H13" s="258"/>
      <c r="I13" s="258"/>
      <c r="J13" s="258"/>
      <c r="K13" s="258"/>
    </row>
    <row r="14" spans="2:11" ht="21" customHeight="1">
      <c r="B14" s="567"/>
      <c r="C14" s="567"/>
      <c r="D14" s="567"/>
      <c r="E14" s="567"/>
      <c r="F14" s="568"/>
      <c r="G14" s="327"/>
      <c r="H14" s="258"/>
      <c r="I14" s="258"/>
      <c r="J14" s="258"/>
      <c r="K14" s="258"/>
    </row>
    <row r="15" spans="2:11" ht="21" customHeight="1">
      <c r="B15" s="567" t="s">
        <v>3833</v>
      </c>
      <c r="C15" s="567"/>
      <c r="D15" s="567"/>
      <c r="E15" s="567"/>
      <c r="F15" s="568">
        <v>918288.89</v>
      </c>
      <c r="G15" s="274"/>
      <c r="H15" s="258"/>
      <c r="I15" s="258"/>
      <c r="J15" s="258"/>
      <c r="K15" s="258"/>
    </row>
    <row r="16" spans="2:11" ht="21" customHeight="1">
      <c r="B16" s="567"/>
      <c r="C16" s="567"/>
      <c r="D16" s="567"/>
      <c r="E16" s="567"/>
      <c r="F16" s="568"/>
      <c r="G16" s="327"/>
      <c r="H16" s="258"/>
      <c r="I16" s="258"/>
      <c r="J16" s="258"/>
      <c r="K16" s="258"/>
    </row>
    <row r="17" spans="2:11" ht="21" customHeight="1">
      <c r="B17" s="567" t="s">
        <v>3837</v>
      </c>
      <c r="C17" s="567"/>
      <c r="D17" s="567"/>
      <c r="E17" s="567"/>
      <c r="F17" s="568">
        <v>1137692.3700000001</v>
      </c>
      <c r="G17" s="327"/>
      <c r="H17" s="258"/>
      <c r="I17" s="258"/>
      <c r="J17" s="258"/>
      <c r="K17" s="258"/>
    </row>
    <row r="18" spans="2:11" ht="21" customHeight="1">
      <c r="B18" s="567" t="s">
        <v>3839</v>
      </c>
      <c r="C18" s="567"/>
      <c r="D18" s="567"/>
      <c r="E18" s="567"/>
      <c r="F18" s="568">
        <v>9085.61</v>
      </c>
      <c r="G18" s="327"/>
      <c r="H18" s="345"/>
      <c r="I18" s="352"/>
      <c r="J18" s="258"/>
      <c r="K18" s="258"/>
    </row>
    <row r="19" spans="2:11" ht="21" customHeight="1">
      <c r="B19" s="567" t="s">
        <v>3838</v>
      </c>
      <c r="C19" s="567"/>
      <c r="D19" s="567"/>
      <c r="E19" s="567"/>
      <c r="F19" s="568">
        <v>1386886.2</v>
      </c>
      <c r="G19" s="327"/>
      <c r="H19" s="258"/>
      <c r="I19" s="258"/>
      <c r="J19" s="258"/>
      <c r="K19" s="258"/>
    </row>
    <row r="20" spans="2:11" ht="21" customHeight="1">
      <c r="B20" s="567"/>
      <c r="C20" s="567"/>
      <c r="D20" s="567"/>
      <c r="E20" s="567"/>
      <c r="F20" s="568"/>
      <c r="G20" s="327"/>
      <c r="H20" s="345"/>
      <c r="I20" s="258"/>
      <c r="J20" s="258"/>
      <c r="K20" s="258"/>
    </row>
    <row r="21" spans="2:11" ht="21" customHeight="1">
      <c r="B21" s="567" t="s">
        <v>3832</v>
      </c>
      <c r="C21" s="567"/>
      <c r="D21" s="567"/>
      <c r="E21" s="567"/>
      <c r="F21" s="568">
        <v>2092641.79</v>
      </c>
      <c r="G21" s="327"/>
      <c r="H21" s="345"/>
      <c r="I21" s="351"/>
      <c r="J21" s="258"/>
      <c r="K21" s="258"/>
    </row>
    <row r="22" spans="2:11" ht="21" customHeight="1">
      <c r="B22" s="567"/>
      <c r="C22" s="567"/>
      <c r="D22" s="567"/>
      <c r="E22" s="567"/>
      <c r="F22" s="568"/>
      <c r="H22" s="258"/>
      <c r="I22" s="258"/>
      <c r="J22" s="258"/>
      <c r="K22" s="258"/>
    </row>
    <row r="23" spans="2:11" ht="21" customHeight="1">
      <c r="B23" s="567"/>
      <c r="C23" s="567"/>
      <c r="D23" s="567"/>
      <c r="E23" s="567"/>
      <c r="F23" s="568"/>
      <c r="H23" s="258"/>
      <c r="I23" s="258"/>
      <c r="J23" s="258"/>
      <c r="K23" s="258"/>
    </row>
    <row r="24" spans="2:11" ht="21" customHeight="1">
      <c r="B24" s="567"/>
      <c r="C24" s="567"/>
      <c r="D24" s="567"/>
      <c r="E24" s="567"/>
      <c r="F24" s="568"/>
      <c r="G24" s="274"/>
      <c r="H24" s="353"/>
      <c r="I24" s="258"/>
      <c r="J24" s="258"/>
      <c r="K24" s="258"/>
    </row>
    <row r="25" spans="2:11" ht="21" customHeight="1">
      <c r="B25" s="567"/>
      <c r="C25" s="567"/>
      <c r="D25" s="567"/>
      <c r="E25" s="567"/>
      <c r="F25" s="568"/>
    </row>
    <row r="26" spans="2:11" ht="21" customHeight="1">
      <c r="B26" s="567"/>
      <c r="C26" s="567"/>
      <c r="D26" s="567"/>
      <c r="E26" s="567"/>
      <c r="F26" s="568"/>
    </row>
    <row r="27" spans="2:11" ht="21" customHeight="1">
      <c r="B27" s="567"/>
      <c r="C27" s="567"/>
      <c r="D27" s="567"/>
      <c r="E27" s="567"/>
      <c r="F27" s="568"/>
    </row>
    <row r="28" spans="2:11" ht="21" customHeight="1">
      <c r="B28" s="567"/>
      <c r="C28" s="567"/>
      <c r="D28" s="567"/>
      <c r="E28" s="567"/>
      <c r="F28" s="568"/>
    </row>
    <row r="29" spans="2:11" ht="21" customHeight="1">
      <c r="B29" s="567"/>
      <c r="C29" s="567"/>
      <c r="D29" s="567"/>
      <c r="E29" s="567"/>
      <c r="F29" s="568"/>
    </row>
    <row r="30" spans="2:11" ht="21" customHeight="1">
      <c r="B30" s="567"/>
      <c r="C30" s="567"/>
      <c r="D30" s="567"/>
      <c r="E30" s="567"/>
      <c r="F30" s="568"/>
    </row>
    <row r="31" spans="2:11" ht="21" customHeight="1">
      <c r="B31" s="567"/>
      <c r="C31" s="567"/>
      <c r="D31" s="567"/>
      <c r="E31" s="567"/>
      <c r="F31" s="568"/>
    </row>
    <row r="32" spans="2:11" ht="21" customHeight="1">
      <c r="B32" s="567"/>
      <c r="C32" s="567"/>
      <c r="D32" s="567"/>
      <c r="E32" s="567"/>
      <c r="F32" s="568"/>
    </row>
    <row r="33" spans="2:6" ht="21" customHeight="1">
      <c r="B33" s="567"/>
      <c r="C33" s="567"/>
      <c r="D33" s="567"/>
      <c r="E33" s="567"/>
      <c r="F33" s="568"/>
    </row>
    <row r="34" spans="2:6" ht="21" customHeight="1">
      <c r="B34" s="567"/>
      <c r="C34" s="567"/>
      <c r="D34" s="567"/>
      <c r="E34" s="567"/>
      <c r="F34" s="568"/>
    </row>
    <row r="35" spans="2:6" ht="21" customHeight="1">
      <c r="B35" s="567"/>
      <c r="C35" s="567"/>
      <c r="D35" s="567"/>
      <c r="E35" s="567"/>
      <c r="F35" s="568"/>
    </row>
    <row r="36" spans="2:6" ht="21" customHeight="1">
      <c r="B36" s="567"/>
      <c r="C36" s="567"/>
      <c r="D36" s="567"/>
      <c r="E36" s="567"/>
      <c r="F36" s="568"/>
    </row>
    <row r="37" spans="2:6" ht="21" customHeight="1">
      <c r="B37" s="567"/>
      <c r="C37" s="567"/>
      <c r="D37" s="567"/>
      <c r="E37" s="567"/>
      <c r="F37" s="568"/>
    </row>
    <row r="38" spans="2:6" ht="21" customHeight="1">
      <c r="B38" s="567"/>
      <c r="C38" s="567"/>
      <c r="D38" s="567"/>
      <c r="E38" s="567"/>
      <c r="F38" s="568"/>
    </row>
    <row r="39" spans="2:6" ht="21" customHeight="1">
      <c r="B39" s="567"/>
      <c r="C39" s="567"/>
      <c r="D39" s="567"/>
      <c r="E39" s="567"/>
      <c r="F39" s="568"/>
    </row>
    <row r="40" spans="2:6" ht="21" customHeight="1">
      <c r="B40" s="567"/>
      <c r="C40" s="567"/>
      <c r="D40" s="567"/>
      <c r="E40" s="567"/>
      <c r="F40" s="568"/>
    </row>
    <row r="41" spans="2:6" ht="21" customHeight="1">
      <c r="B41" s="567"/>
      <c r="C41" s="567"/>
      <c r="D41" s="567"/>
      <c r="E41" s="567"/>
      <c r="F41" s="568"/>
    </row>
    <row r="42" spans="2:6" ht="21" customHeight="1">
      <c r="B42" s="567"/>
      <c r="C42" s="567"/>
      <c r="D42" s="567"/>
      <c r="E42" s="567"/>
      <c r="F42" s="568"/>
    </row>
    <row r="43" spans="2:6" ht="21" customHeight="1" thickBot="1">
      <c r="B43" s="257"/>
      <c r="C43" s="779" t="s">
        <v>3538</v>
      </c>
      <c r="D43" s="257"/>
      <c r="E43" s="257"/>
      <c r="F43" s="354">
        <f>SUM(F5:F42)</f>
        <v>13000627.719999999</v>
      </c>
    </row>
    <row r="44" spans="2:6" ht="13.8" thickTop="1"/>
    <row r="45" spans="2:6">
      <c r="B45" s="1593" t="s">
        <v>788</v>
      </c>
      <c r="C45" s="1593"/>
      <c r="D45" s="1593"/>
      <c r="E45" s="1593"/>
      <c r="F45" s="1593"/>
    </row>
    <row r="46" spans="2:6">
      <c r="B46" s="1593" t="s">
        <v>798</v>
      </c>
      <c r="C46" s="1593"/>
      <c r="D46" s="1593"/>
      <c r="E46" s="1593"/>
      <c r="F46" s="1593"/>
    </row>
    <row r="47" spans="2:6">
      <c r="B47" s="817"/>
      <c r="C47" s="817"/>
      <c r="D47" s="817"/>
      <c r="E47" s="817"/>
      <c r="F47" s="356"/>
    </row>
    <row r="49" spans="2:6" ht="13.8">
      <c r="B49" s="1590" t="s">
        <v>799</v>
      </c>
      <c r="C49" s="1590"/>
      <c r="D49" s="1590"/>
      <c r="E49" s="1590"/>
      <c r="F49" s="1590"/>
    </row>
    <row r="50" spans="2:6">
      <c r="F50" s="357"/>
    </row>
    <row r="51" spans="2:6">
      <c r="F51" s="357"/>
    </row>
    <row r="54" spans="2:6">
      <c r="F54" s="357"/>
    </row>
  </sheetData>
  <sheetProtection algorithmName="SHA-512" hashValue="IhSpbnowN3Db/jqjL237kKYeXm4h0epF9rsrmAwcJonySjQYJ77pF70WSviMs2H3KRVVeAxqfHcvZgQwdS0pVg==" saltValue="cH9YWpLP2RnhhfnYRCGd8Q==" spinCount="100000" sheet="1" objects="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H23" sqref="H23"/>
      <pageMargins left="0.25" right="0.25" top="0.5" bottom="0.5" header="0.25" footer="0.25"/>
      <pageSetup paperSize="5" orientation="portrait" r:id="rId2"/>
      <headerFooter alignWithMargins="0"/>
    </customSheetView>
    <customSheetView guid="{A64E4C9E-A3DA-4AAA-8607-F524450B9436}">
      <selection activeCell="H23" sqref="H23"/>
      <pageMargins left="0.25" right="0.25" top="0.5" bottom="0.5" header="0.25" footer="0.25"/>
      <pageSetup paperSize="5" orientation="portrait" r:id="rId3"/>
      <headerFooter alignWithMargins="0"/>
    </customSheetView>
    <customSheetView guid="{AB4FBD91-4533-473A-9702-569FF6402073}" topLeftCell="A4">
      <selection activeCell="F15" sqref="F15"/>
      <pageMargins left="0.25" right="0.25" top="0.5" bottom="0.5" header="0.25" footer="0.25"/>
      <pageSetup paperSize="5" orientation="portrait" r:id="rId4"/>
      <headerFooter alignWithMargins="0"/>
    </customSheetView>
  </customSheetViews>
  <mergeCells count="5">
    <mergeCell ref="B49:F49"/>
    <mergeCell ref="B4:F4"/>
    <mergeCell ref="B2:F2"/>
    <mergeCell ref="B45:F45"/>
    <mergeCell ref="B46:F46"/>
  </mergeCells>
  <phoneticPr fontId="0" type="noConversion"/>
  <pageMargins left="0.25" right="0.25" top="0.5" bottom="0.5" header="0.25" footer="0.25"/>
  <pageSetup paperSize="5" orientation="portrait" r:id="rId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B1:I49"/>
  <sheetViews>
    <sheetView zoomScaleNormal="100" workbookViewId="0">
      <selection activeCell="B1" sqref="B1"/>
    </sheetView>
  </sheetViews>
  <sheetFormatPr defaultRowHeight="13.2"/>
  <cols>
    <col min="1" max="4" width="4.6640625" customWidth="1"/>
    <col min="5" max="5" width="63.6640625" customWidth="1"/>
    <col min="6" max="6" width="16.5546875" customWidth="1"/>
  </cols>
  <sheetData>
    <row r="1" spans="2:9">
      <c r="B1" s="853"/>
      <c r="C1" s="853"/>
      <c r="D1" s="853"/>
      <c r="E1" s="853"/>
      <c r="F1" s="853"/>
    </row>
    <row r="2" spans="2:9" ht="22.8">
      <c r="B2" s="1594" t="str">
        <f>'9a-Cash Reconciliation'!B2:F2</f>
        <v xml:space="preserve">  CASH  RECONCILIATION  DECEMBER  31, 2019 (cont'd)  </v>
      </c>
      <c r="C2" s="1594"/>
      <c r="D2" s="1594"/>
      <c r="E2" s="1594"/>
      <c r="F2" s="1594"/>
      <c r="G2" s="39"/>
      <c r="H2" s="39"/>
      <c r="I2" s="39"/>
    </row>
    <row r="3" spans="2:9">
      <c r="B3" s="853"/>
      <c r="C3" s="853"/>
      <c r="D3" s="853"/>
      <c r="E3" s="853"/>
      <c r="F3" s="853"/>
    </row>
    <row r="4" spans="2:9" ht="16.2" thickBot="1">
      <c r="B4" s="1568" t="s">
        <v>797</v>
      </c>
      <c r="C4" s="1568"/>
      <c r="D4" s="1568"/>
      <c r="E4" s="1568"/>
      <c r="F4" s="1568"/>
    </row>
    <row r="5" spans="2:9" ht="21" customHeight="1" thickTop="1">
      <c r="B5" s="882" t="s">
        <v>3539</v>
      </c>
      <c r="C5" s="883"/>
      <c r="D5" s="883"/>
      <c r="E5" s="883"/>
      <c r="F5" s="884">
        <f>+'9a-Cash Reconciliation'!F43</f>
        <v>13000627.719999999</v>
      </c>
    </row>
    <row r="6" spans="2:9" ht="21" customHeight="1">
      <c r="B6" s="566"/>
      <c r="C6" s="566"/>
      <c r="D6" s="566"/>
      <c r="E6" s="566"/>
      <c r="F6" s="568"/>
    </row>
    <row r="7" spans="2:9" ht="21" customHeight="1">
      <c r="B7" s="566"/>
      <c r="C7" s="566"/>
      <c r="D7" s="566"/>
      <c r="E7" s="566"/>
      <c r="F7" s="568"/>
    </row>
    <row r="8" spans="2:9" ht="21" customHeight="1">
      <c r="B8" s="566"/>
      <c r="C8" s="566"/>
      <c r="D8" s="566"/>
      <c r="E8" s="566"/>
      <c r="F8" s="568"/>
    </row>
    <row r="9" spans="2:9" ht="21" customHeight="1">
      <c r="B9" s="566"/>
      <c r="C9" s="566"/>
      <c r="D9" s="566"/>
      <c r="E9" s="566"/>
      <c r="F9" s="568"/>
    </row>
    <row r="10" spans="2:9" ht="21" customHeight="1">
      <c r="B10" s="566"/>
      <c r="C10" s="566"/>
      <c r="D10" s="566"/>
      <c r="E10" s="566"/>
      <c r="F10" s="568"/>
      <c r="I10" s="377"/>
    </row>
    <row r="11" spans="2:9" ht="21" customHeight="1">
      <c r="B11" s="566"/>
      <c r="C11" s="566"/>
      <c r="D11" s="566"/>
      <c r="E11" s="566"/>
      <c r="F11" s="568"/>
    </row>
    <row r="12" spans="2:9" ht="21" customHeight="1">
      <c r="B12" s="566"/>
      <c r="C12" s="566"/>
      <c r="D12" s="566"/>
      <c r="E12" s="566"/>
      <c r="F12" s="568"/>
    </row>
    <row r="13" spans="2:9" ht="21" customHeight="1">
      <c r="B13" s="566"/>
      <c r="C13" s="566"/>
      <c r="D13" s="566"/>
      <c r="E13" s="566"/>
      <c r="F13" s="568"/>
    </row>
    <row r="14" spans="2:9" ht="21" customHeight="1">
      <c r="B14" s="566"/>
      <c r="C14" s="566"/>
      <c r="D14" s="566"/>
      <c r="E14" s="566"/>
      <c r="F14" s="568"/>
    </row>
    <row r="15" spans="2:9" ht="21" customHeight="1">
      <c r="B15" s="566"/>
      <c r="C15" s="566"/>
      <c r="D15" s="566"/>
      <c r="E15" s="566"/>
      <c r="F15" s="568"/>
    </row>
    <row r="16" spans="2:9" ht="21" customHeight="1">
      <c r="B16" s="566"/>
      <c r="C16" s="566"/>
      <c r="D16" s="566"/>
      <c r="E16" s="566"/>
      <c r="F16" s="568"/>
    </row>
    <row r="17" spans="2:6" ht="21" customHeight="1">
      <c r="B17" s="566"/>
      <c r="C17" s="566"/>
      <c r="D17" s="566"/>
      <c r="E17" s="566"/>
      <c r="F17" s="568"/>
    </row>
    <row r="18" spans="2:6" ht="21" customHeight="1">
      <c r="B18" s="566"/>
      <c r="C18" s="566"/>
      <c r="D18" s="566"/>
      <c r="E18" s="566"/>
      <c r="F18" s="568"/>
    </row>
    <row r="19" spans="2:6" ht="21" customHeight="1">
      <c r="B19" s="566"/>
      <c r="C19" s="566"/>
      <c r="D19" s="566"/>
      <c r="E19" s="566"/>
      <c r="F19" s="568"/>
    </row>
    <row r="20" spans="2:6" ht="21" customHeight="1">
      <c r="B20" s="566"/>
      <c r="C20" s="566"/>
      <c r="D20" s="566"/>
      <c r="E20" s="566"/>
      <c r="F20" s="568"/>
    </row>
    <row r="21" spans="2:6" ht="21" customHeight="1">
      <c r="B21" s="566"/>
      <c r="C21" s="566"/>
      <c r="D21" s="566"/>
      <c r="E21" s="566"/>
      <c r="F21" s="568"/>
    </row>
    <row r="22" spans="2:6" ht="21" customHeight="1">
      <c r="B22" s="566"/>
      <c r="C22" s="566"/>
      <c r="D22" s="566"/>
      <c r="E22" s="566"/>
      <c r="F22" s="568"/>
    </row>
    <row r="23" spans="2:6" ht="21" customHeight="1">
      <c r="B23" s="566"/>
      <c r="C23" s="566"/>
      <c r="D23" s="566"/>
      <c r="E23" s="566"/>
      <c r="F23" s="568"/>
    </row>
    <row r="24" spans="2:6" s="322" customFormat="1" ht="21" customHeight="1">
      <c r="B24" s="566"/>
      <c r="C24" s="566"/>
      <c r="D24" s="566"/>
      <c r="E24" s="566"/>
      <c r="F24" s="568"/>
    </row>
    <row r="25" spans="2:6" s="322" customFormat="1" ht="21" customHeight="1">
      <c r="B25" s="566"/>
      <c r="C25" s="566"/>
      <c r="D25" s="566"/>
      <c r="E25" s="566"/>
      <c r="F25" s="568"/>
    </row>
    <row r="26" spans="2:6" s="322" customFormat="1" ht="21" customHeight="1">
      <c r="B26" s="566"/>
      <c r="C26" s="566"/>
      <c r="D26" s="566"/>
      <c r="E26" s="566"/>
      <c r="F26" s="568"/>
    </row>
    <row r="27" spans="2:6" ht="21" customHeight="1">
      <c r="B27" s="566"/>
      <c r="C27" s="566"/>
      <c r="D27" s="566"/>
      <c r="E27" s="566"/>
      <c r="F27" s="568"/>
    </row>
    <row r="28" spans="2:6" ht="21" customHeight="1">
      <c r="B28" s="566"/>
      <c r="C28" s="566"/>
      <c r="D28" s="566"/>
      <c r="E28" s="566"/>
      <c r="F28" s="568"/>
    </row>
    <row r="29" spans="2:6" ht="21" customHeight="1">
      <c r="B29" s="566"/>
      <c r="C29" s="566"/>
      <c r="D29" s="566"/>
      <c r="E29" s="566"/>
      <c r="F29" s="568"/>
    </row>
    <row r="30" spans="2:6" ht="21" customHeight="1">
      <c r="B30" s="566"/>
      <c r="C30" s="566"/>
      <c r="D30" s="566"/>
      <c r="E30" s="566"/>
      <c r="F30" s="568"/>
    </row>
    <row r="31" spans="2:6" ht="21" customHeight="1">
      <c r="B31" s="566"/>
      <c r="C31" s="566"/>
      <c r="D31" s="566"/>
      <c r="E31" s="566"/>
      <c r="F31" s="568"/>
    </row>
    <row r="32" spans="2:6" ht="21" customHeight="1">
      <c r="B32" s="566"/>
      <c r="C32" s="566"/>
      <c r="D32" s="566"/>
      <c r="E32" s="566"/>
      <c r="F32" s="568"/>
    </row>
    <row r="33" spans="2:6" ht="21" customHeight="1">
      <c r="B33" s="566"/>
      <c r="C33" s="566"/>
      <c r="D33" s="566"/>
      <c r="E33" s="566"/>
      <c r="F33" s="568"/>
    </row>
    <row r="34" spans="2:6" ht="21" customHeight="1">
      <c r="B34" s="566"/>
      <c r="C34" s="566"/>
      <c r="D34" s="566"/>
      <c r="E34" s="566"/>
      <c r="F34" s="568"/>
    </row>
    <row r="35" spans="2:6" ht="21" customHeight="1">
      <c r="B35" s="566"/>
      <c r="C35" s="566"/>
      <c r="D35" s="566"/>
      <c r="E35" s="566"/>
      <c r="F35" s="568"/>
    </row>
    <row r="36" spans="2:6" ht="21" customHeight="1">
      <c r="B36" s="566"/>
      <c r="C36" s="566"/>
      <c r="D36" s="566"/>
      <c r="E36" s="566"/>
      <c r="F36" s="568"/>
    </row>
    <row r="37" spans="2:6" ht="21" customHeight="1">
      <c r="B37" s="566"/>
      <c r="C37" s="566"/>
      <c r="D37" s="566"/>
      <c r="E37" s="566"/>
      <c r="F37" s="568"/>
    </row>
    <row r="38" spans="2:6" ht="21" customHeight="1">
      <c r="B38" s="566"/>
      <c r="C38" s="566"/>
      <c r="D38" s="566"/>
      <c r="E38" s="566"/>
      <c r="F38" s="568"/>
    </row>
    <row r="39" spans="2:6" ht="21" customHeight="1">
      <c r="B39" s="566"/>
      <c r="C39" s="566"/>
      <c r="D39" s="566"/>
      <c r="E39" s="566"/>
      <c r="F39" s="568"/>
    </row>
    <row r="40" spans="2:6" ht="21" customHeight="1">
      <c r="B40" s="566"/>
      <c r="C40" s="566"/>
      <c r="D40" s="566"/>
      <c r="E40" s="566"/>
      <c r="F40" s="568"/>
    </row>
    <row r="41" spans="2:6" ht="21" customHeight="1">
      <c r="B41" s="566"/>
      <c r="C41" s="566"/>
      <c r="D41" s="566"/>
      <c r="E41" s="566"/>
      <c r="F41" s="568"/>
    </row>
    <row r="42" spans="2:6" ht="21" customHeight="1">
      <c r="B42" s="566"/>
      <c r="C42" s="566"/>
      <c r="D42" s="566"/>
      <c r="E42" s="566"/>
      <c r="F42" s="568"/>
    </row>
    <row r="43" spans="2:6" ht="21" customHeight="1" thickBot="1">
      <c r="B43" s="328" t="s">
        <v>3538</v>
      </c>
      <c r="C43" s="27"/>
      <c r="D43" s="27"/>
      <c r="E43" s="27"/>
      <c r="F43" s="222">
        <f>SUM(F5:F42)</f>
        <v>13000627.719999999</v>
      </c>
    </row>
    <row r="44" spans="2:6" ht="13.8" thickTop="1">
      <c r="B44" s="322"/>
      <c r="C44" s="322"/>
      <c r="D44" s="322"/>
      <c r="E44" s="322"/>
      <c r="F44" s="322"/>
    </row>
    <row r="45" spans="2:6">
      <c r="B45" s="1546" t="s">
        <v>788</v>
      </c>
      <c r="C45" s="1546"/>
      <c r="D45" s="1546"/>
      <c r="E45" s="1546"/>
      <c r="F45" s="1546"/>
    </row>
    <row r="46" spans="2:6">
      <c r="B46" s="1546" t="s">
        <v>798</v>
      </c>
      <c r="C46" s="1546"/>
      <c r="D46" s="1546"/>
      <c r="E46" s="1546"/>
      <c r="F46" s="1546"/>
    </row>
    <row r="47" spans="2:6">
      <c r="B47" s="814"/>
      <c r="C47" s="814"/>
      <c r="D47" s="814"/>
      <c r="E47" s="814"/>
      <c r="F47" s="814"/>
    </row>
    <row r="48" spans="2:6">
      <c r="B48" s="322"/>
      <c r="C48" s="322"/>
      <c r="D48" s="322"/>
      <c r="E48" s="322"/>
      <c r="F48" s="322"/>
    </row>
    <row r="49" spans="2:6" ht="13.8">
      <c r="B49" s="1507" t="s">
        <v>3525</v>
      </c>
      <c r="C49" s="1507"/>
      <c r="D49" s="1507"/>
      <c r="E49" s="1507"/>
      <c r="F49" s="1507"/>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portrait" r:id="rId1"/>
      <headerFooter alignWithMargins="0"/>
    </customSheetView>
    <customSheetView guid="{B165479B-DC25-403C-9595-F1A88A4AA9A2}" state="hidden">
      <selection activeCell="B1" sqref="B1"/>
      <pageMargins left="0.25" right="0.25" top="0.5" bottom="0.5" header="0.25" footer="0.25"/>
      <pageSetup paperSize="5" orientation="portrait" r:id="rId2"/>
      <headerFooter alignWithMargins="0"/>
    </customSheetView>
    <customSheetView guid="{A64E4C9E-A3DA-4AAA-8607-F524450B9436}" state="hidden">
      <selection activeCell="B1" sqref="B1"/>
      <pageMargins left="0.25" right="0.25" top="0.5" bottom="0.5" header="0.25" footer="0.25"/>
      <pageSetup paperSize="5" orientation="portrait" r:id="rId3"/>
      <headerFooter alignWithMargins="0"/>
    </customSheetView>
    <customSheetView guid="{AB4FBD91-4533-473A-9702-569FF6402073}" state="hidden">
      <selection activeCell="B1" sqref="B1"/>
      <pageMargins left="0.25" right="0.25" top="0.5" bottom="0.5" header="0.25" footer="0.25"/>
      <pageSetup paperSize="5" orientation="portrait" r:id="rId4"/>
      <headerFooter alignWithMargins="0"/>
    </customSheetView>
  </customSheetViews>
  <mergeCells count="5">
    <mergeCell ref="B49:F49"/>
    <mergeCell ref="B4:F4"/>
    <mergeCell ref="B2:F2"/>
    <mergeCell ref="B45:F45"/>
    <mergeCell ref="B46:F46"/>
  </mergeCells>
  <phoneticPr fontId="0" type="noConversion"/>
  <pageMargins left="0.25" right="0.25" top="0.5" bottom="0.5" header="0.25" footer="0.25"/>
  <pageSetup paperSize="5" orientation="portrait" r:id="rId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B1:I49"/>
  <sheetViews>
    <sheetView zoomScaleNormal="100" workbookViewId="0">
      <selection activeCell="B1" sqref="B1"/>
    </sheetView>
  </sheetViews>
  <sheetFormatPr defaultColWidth="9.109375" defaultRowHeight="13.2"/>
  <cols>
    <col min="1" max="4" width="4.6640625" style="322" customWidth="1"/>
    <col min="5" max="5" width="63.6640625" style="322" customWidth="1"/>
    <col min="6" max="6" width="16.5546875" style="322" customWidth="1"/>
    <col min="7" max="16384" width="9.109375" style="322"/>
  </cols>
  <sheetData>
    <row r="1" spans="2:9">
      <c r="B1" s="853"/>
      <c r="C1" s="853"/>
      <c r="D1" s="853"/>
      <c r="E1" s="853"/>
      <c r="F1" s="853"/>
    </row>
    <row r="2" spans="2:9" ht="22.8">
      <c r="B2" s="1594" t="str">
        <f>'9a-Cash Reconciliation'!B2:F2</f>
        <v xml:space="preserve">  CASH  RECONCILIATION  DECEMBER  31, 2019 (cont'd)  </v>
      </c>
      <c r="C2" s="1594"/>
      <c r="D2" s="1594"/>
      <c r="E2" s="1594"/>
      <c r="F2" s="1594"/>
      <c r="G2" s="736"/>
      <c r="H2" s="736"/>
      <c r="I2" s="736"/>
    </row>
    <row r="3" spans="2:9">
      <c r="B3" s="853"/>
      <c r="C3" s="853"/>
      <c r="D3" s="853"/>
      <c r="E3" s="853"/>
      <c r="F3" s="853"/>
    </row>
    <row r="4" spans="2:9" ht="16.2" thickBot="1">
      <c r="B4" s="1568" t="s">
        <v>797</v>
      </c>
      <c r="C4" s="1568"/>
      <c r="D4" s="1568"/>
      <c r="E4" s="1568"/>
      <c r="F4" s="1568"/>
    </row>
    <row r="5" spans="2:9" ht="21" customHeight="1" thickTop="1">
      <c r="B5" s="882" t="s">
        <v>3539</v>
      </c>
      <c r="C5" s="883"/>
      <c r="D5" s="883"/>
      <c r="E5" s="883"/>
      <c r="F5" s="884">
        <f>+'9a.1-Cash Reconciliation'!F43</f>
        <v>13000627.719999999</v>
      </c>
    </row>
    <row r="6" spans="2:9" ht="21" customHeight="1">
      <c r="B6" s="566"/>
      <c r="C6" s="566"/>
      <c r="D6" s="566"/>
      <c r="E6" s="566"/>
      <c r="F6" s="568"/>
    </row>
    <row r="7" spans="2:9" ht="21" customHeight="1">
      <c r="B7" s="566"/>
      <c r="C7" s="566"/>
      <c r="D7" s="566"/>
      <c r="E7" s="566"/>
      <c r="F7" s="568"/>
    </row>
    <row r="8" spans="2:9" ht="21" customHeight="1">
      <c r="B8" s="566"/>
      <c r="C8" s="566"/>
      <c r="D8" s="566"/>
      <c r="E8" s="566"/>
      <c r="F8" s="568"/>
    </row>
    <row r="9" spans="2:9" ht="21" customHeight="1">
      <c r="B9" s="566"/>
      <c r="C9" s="566"/>
      <c r="D9" s="566"/>
      <c r="E9" s="566"/>
      <c r="F9" s="568"/>
    </row>
    <row r="10" spans="2:9" ht="21" customHeight="1">
      <c r="B10" s="566"/>
      <c r="C10" s="566"/>
      <c r="D10" s="566"/>
      <c r="E10" s="566"/>
      <c r="F10" s="568"/>
      <c r="I10" s="377"/>
    </row>
    <row r="11" spans="2:9" ht="21" customHeight="1">
      <c r="B11" s="566"/>
      <c r="C11" s="566"/>
      <c r="D11" s="566"/>
      <c r="E11" s="566"/>
      <c r="F11" s="568"/>
    </row>
    <row r="12" spans="2:9" ht="21" customHeight="1">
      <c r="B12" s="566"/>
      <c r="C12" s="566"/>
      <c r="D12" s="566"/>
      <c r="E12" s="566"/>
      <c r="F12" s="568"/>
    </row>
    <row r="13" spans="2:9" ht="21" customHeight="1">
      <c r="B13" s="566"/>
      <c r="C13" s="566"/>
      <c r="D13" s="566"/>
      <c r="E13" s="566"/>
      <c r="F13" s="568"/>
    </row>
    <row r="14" spans="2:9" ht="21" customHeight="1">
      <c r="B14" s="566"/>
      <c r="C14" s="566"/>
      <c r="D14" s="566"/>
      <c r="E14" s="566"/>
      <c r="F14" s="568"/>
    </row>
    <row r="15" spans="2:9" ht="21" customHeight="1">
      <c r="B15" s="566"/>
      <c r="C15" s="566"/>
      <c r="D15" s="566"/>
      <c r="E15" s="566"/>
      <c r="F15" s="568"/>
    </row>
    <row r="16" spans="2:9" ht="21" customHeight="1">
      <c r="B16" s="566"/>
      <c r="C16" s="566"/>
      <c r="D16" s="566"/>
      <c r="E16" s="566"/>
      <c r="F16" s="568"/>
    </row>
    <row r="17" spans="2:6" ht="21" customHeight="1">
      <c r="B17" s="566"/>
      <c r="C17" s="566"/>
      <c r="D17" s="566"/>
      <c r="E17" s="566"/>
      <c r="F17" s="568"/>
    </row>
    <row r="18" spans="2:6" ht="21" customHeight="1">
      <c r="B18" s="566"/>
      <c r="C18" s="566"/>
      <c r="D18" s="566"/>
      <c r="E18" s="566"/>
      <c r="F18" s="568"/>
    </row>
    <row r="19" spans="2:6" ht="21" customHeight="1">
      <c r="B19" s="566"/>
      <c r="C19" s="566"/>
      <c r="D19" s="566"/>
      <c r="E19" s="566"/>
      <c r="F19" s="568"/>
    </row>
    <row r="20" spans="2:6" ht="21" customHeight="1">
      <c r="B20" s="566"/>
      <c r="C20" s="566"/>
      <c r="D20" s="566"/>
      <c r="E20" s="566"/>
      <c r="F20" s="568"/>
    </row>
    <row r="21" spans="2:6" ht="21" customHeight="1">
      <c r="B21" s="566"/>
      <c r="C21" s="566"/>
      <c r="D21" s="566"/>
      <c r="E21" s="566"/>
      <c r="F21" s="568"/>
    </row>
    <row r="22" spans="2:6" ht="21" customHeight="1">
      <c r="B22" s="566"/>
      <c r="C22" s="566"/>
      <c r="D22" s="566"/>
      <c r="E22" s="566"/>
      <c r="F22" s="568"/>
    </row>
    <row r="23" spans="2:6" ht="21" customHeight="1">
      <c r="B23" s="566"/>
      <c r="C23" s="566"/>
      <c r="D23" s="566"/>
      <c r="E23" s="566"/>
      <c r="F23" s="568"/>
    </row>
    <row r="24" spans="2:6" ht="21" customHeight="1">
      <c r="B24" s="566"/>
      <c r="C24" s="566"/>
      <c r="D24" s="566"/>
      <c r="E24" s="566"/>
      <c r="F24" s="568"/>
    </row>
    <row r="25" spans="2:6" ht="21" customHeight="1">
      <c r="B25" s="566"/>
      <c r="C25" s="566"/>
      <c r="D25" s="566"/>
      <c r="E25" s="566"/>
      <c r="F25" s="568"/>
    </row>
    <row r="26" spans="2:6" ht="21" customHeight="1">
      <c r="B26" s="566"/>
      <c r="C26" s="566"/>
      <c r="D26" s="566"/>
      <c r="E26" s="566"/>
      <c r="F26" s="568"/>
    </row>
    <row r="27" spans="2:6" ht="21" customHeight="1">
      <c r="B27" s="566"/>
      <c r="C27" s="566"/>
      <c r="D27" s="566"/>
      <c r="E27" s="566"/>
      <c r="F27" s="568"/>
    </row>
    <row r="28" spans="2:6" ht="21" customHeight="1">
      <c r="B28" s="566"/>
      <c r="C28" s="566"/>
      <c r="D28" s="566"/>
      <c r="E28" s="566"/>
      <c r="F28" s="568"/>
    </row>
    <row r="29" spans="2:6" ht="21" customHeight="1">
      <c r="B29" s="566"/>
      <c r="C29" s="566"/>
      <c r="D29" s="566"/>
      <c r="E29" s="566"/>
      <c r="F29" s="568"/>
    </row>
    <row r="30" spans="2:6" ht="21" customHeight="1">
      <c r="B30" s="566"/>
      <c r="C30" s="566"/>
      <c r="D30" s="566"/>
      <c r="E30" s="566"/>
      <c r="F30" s="568"/>
    </row>
    <row r="31" spans="2:6" ht="21" customHeight="1">
      <c r="B31" s="566"/>
      <c r="C31" s="566"/>
      <c r="D31" s="566"/>
      <c r="E31" s="566"/>
      <c r="F31" s="568"/>
    </row>
    <row r="32" spans="2:6" ht="21" customHeight="1">
      <c r="B32" s="566"/>
      <c r="C32" s="566"/>
      <c r="D32" s="566"/>
      <c r="E32" s="566"/>
      <c r="F32" s="568"/>
    </row>
    <row r="33" spans="2:6" ht="21" customHeight="1">
      <c r="B33" s="566"/>
      <c r="C33" s="566"/>
      <c r="D33" s="566"/>
      <c r="E33" s="566"/>
      <c r="F33" s="568"/>
    </row>
    <row r="34" spans="2:6" ht="21" customHeight="1">
      <c r="B34" s="566"/>
      <c r="C34" s="566"/>
      <c r="D34" s="566"/>
      <c r="E34" s="566"/>
      <c r="F34" s="568"/>
    </row>
    <row r="35" spans="2:6" ht="21" customHeight="1">
      <c r="B35" s="566"/>
      <c r="C35" s="566"/>
      <c r="D35" s="566"/>
      <c r="E35" s="566"/>
      <c r="F35" s="568"/>
    </row>
    <row r="36" spans="2:6" ht="21" customHeight="1">
      <c r="B36" s="566"/>
      <c r="C36" s="566"/>
      <c r="D36" s="566"/>
      <c r="E36" s="566"/>
      <c r="F36" s="568"/>
    </row>
    <row r="37" spans="2:6" ht="21" customHeight="1">
      <c r="B37" s="566"/>
      <c r="C37" s="566"/>
      <c r="D37" s="566"/>
      <c r="E37" s="566"/>
      <c r="F37" s="568"/>
    </row>
    <row r="38" spans="2:6" ht="21" customHeight="1">
      <c r="B38" s="566"/>
      <c r="C38" s="566"/>
      <c r="D38" s="566"/>
      <c r="E38" s="566"/>
      <c r="F38" s="568"/>
    </row>
    <row r="39" spans="2:6" ht="21" customHeight="1">
      <c r="B39" s="566"/>
      <c r="C39" s="566"/>
      <c r="D39" s="566"/>
      <c r="E39" s="566"/>
      <c r="F39" s="568"/>
    </row>
    <row r="40" spans="2:6" ht="21" customHeight="1">
      <c r="B40" s="566"/>
      <c r="C40" s="566"/>
      <c r="D40" s="566"/>
      <c r="E40" s="566"/>
      <c r="F40" s="568"/>
    </row>
    <row r="41" spans="2:6" ht="21" customHeight="1">
      <c r="B41" s="566"/>
      <c r="C41" s="566"/>
      <c r="D41" s="566"/>
      <c r="E41" s="566"/>
      <c r="F41" s="568"/>
    </row>
    <row r="42" spans="2:6" ht="21" customHeight="1">
      <c r="B42" s="566"/>
      <c r="C42" s="566"/>
      <c r="D42" s="566"/>
      <c r="E42" s="566"/>
      <c r="F42" s="568"/>
    </row>
    <row r="43" spans="2:6" ht="21" customHeight="1" thickBot="1">
      <c r="B43" s="328" t="s">
        <v>3538</v>
      </c>
      <c r="C43" s="27"/>
      <c r="D43" s="27"/>
      <c r="E43" s="27"/>
      <c r="F43" s="222">
        <f>SUM(F5:F42)</f>
        <v>13000627.719999999</v>
      </c>
    </row>
    <row r="44" spans="2:6" ht="13.8" thickTop="1"/>
    <row r="45" spans="2:6">
      <c r="B45" s="1546" t="s">
        <v>788</v>
      </c>
      <c r="C45" s="1546"/>
      <c r="D45" s="1546"/>
      <c r="E45" s="1546"/>
      <c r="F45" s="1546"/>
    </row>
    <row r="46" spans="2:6">
      <c r="B46" s="1546" t="s">
        <v>798</v>
      </c>
      <c r="C46" s="1546"/>
      <c r="D46" s="1546"/>
      <c r="E46" s="1546"/>
      <c r="F46" s="1546"/>
    </row>
    <row r="47" spans="2:6">
      <c r="B47" s="814"/>
      <c r="C47" s="814"/>
      <c r="D47" s="814"/>
      <c r="E47" s="814"/>
      <c r="F47" s="814"/>
    </row>
    <row r="49" spans="2:6" ht="13.8">
      <c r="B49" s="1507" t="s">
        <v>3526</v>
      </c>
      <c r="C49" s="1507"/>
      <c r="D49" s="1507"/>
      <c r="E49" s="1507"/>
      <c r="F49" s="1507"/>
    </row>
  </sheetData>
  <sheetProtection algorithmName="SHA-512" hashValue="iVKw35QEybpB6Wkoq6oS4iOz4LIgKbnYriAps3ptgzaiLjFgxIa1zPTlXRUDx6YZI+rmYVrOdDcf61nFIA7HhQ==" saltValue="ZmLKt/bEQd7a4rnx7gQnKA==" spinCount="100000" sheet="1" scenarios="1"/>
  <customSheetViews>
    <customSheetView guid="{AC653BD0-46E3-42CB-9C76-32121A57B65A}" state="hidden">
      <selection activeCell="B1" sqref="B1"/>
      <pageMargins left="0.25" right="0.25" top="0.5" bottom="0.5" header="0.25" footer="0.25"/>
      <pageSetup paperSize="5" orientation="portrait" r:id="rId1"/>
      <headerFooter alignWithMargins="0"/>
    </customSheetView>
    <customSheetView guid="{B165479B-DC25-403C-9595-F1A88A4AA9A2}" state="hidden">
      <selection activeCell="B1" sqref="B1"/>
      <pageMargins left="0.25" right="0.25" top="0.5" bottom="0.5" header="0.25" footer="0.25"/>
      <pageSetup paperSize="5" orientation="portrait" r:id="rId2"/>
      <headerFooter alignWithMargins="0"/>
    </customSheetView>
    <customSheetView guid="{A64E4C9E-A3DA-4AAA-8607-F524450B9436}" state="hidden">
      <selection activeCell="B1" sqref="B1"/>
      <pageMargins left="0.25" right="0.25" top="0.5" bottom="0.5" header="0.25" footer="0.25"/>
      <pageSetup paperSize="5" orientation="portrait" r:id="rId3"/>
      <headerFooter alignWithMargins="0"/>
    </customSheetView>
    <customSheetView guid="{AB4FBD91-4533-473A-9702-569FF6402073}" state="hidden">
      <selection activeCell="B1" sqref="B1"/>
      <pageMargins left="0.25" right="0.25" top="0.5" bottom="0.5" header="0.25" footer="0.25"/>
      <pageSetup paperSize="5" orientation="portrait" r:id="rId4"/>
      <headerFooter alignWithMargins="0"/>
    </customSheetView>
  </customSheetViews>
  <mergeCells count="5">
    <mergeCell ref="B2:F2"/>
    <mergeCell ref="B4:F4"/>
    <mergeCell ref="B45:F45"/>
    <mergeCell ref="B46:F46"/>
    <mergeCell ref="B49:F49"/>
  </mergeCells>
  <pageMargins left="0.25" right="0.25" top="0.5" bottom="0.5" header="0.25" footer="0.25"/>
  <pageSetup paperSize="5" orientation="portrait" r:id="rId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B1:I49"/>
  <sheetViews>
    <sheetView zoomScaleNormal="100" workbookViewId="0">
      <selection activeCell="B1" sqref="B1"/>
    </sheetView>
  </sheetViews>
  <sheetFormatPr defaultColWidth="9.109375" defaultRowHeight="13.2"/>
  <cols>
    <col min="1" max="4" width="4.6640625" style="322" customWidth="1"/>
    <col min="5" max="5" width="63.6640625" style="322" customWidth="1"/>
    <col min="6" max="6" width="16.5546875" style="322" customWidth="1"/>
    <col min="7" max="16384" width="9.109375" style="322"/>
  </cols>
  <sheetData>
    <row r="1" spans="2:9">
      <c r="B1" s="853"/>
      <c r="C1" s="853"/>
      <c r="D1" s="853"/>
      <c r="E1" s="853"/>
      <c r="F1" s="853"/>
    </row>
    <row r="2" spans="2:9" ht="22.8">
      <c r="B2" s="1594" t="str">
        <f>'9a-Cash Reconciliation'!B2:F2</f>
        <v xml:space="preserve">  CASH  RECONCILIATION  DECEMBER  31, 2019 (cont'd)  </v>
      </c>
      <c r="C2" s="1594"/>
      <c r="D2" s="1594"/>
      <c r="E2" s="1594"/>
      <c r="F2" s="1594"/>
      <c r="G2" s="736"/>
      <c r="H2" s="736"/>
      <c r="I2" s="736"/>
    </row>
    <row r="3" spans="2:9">
      <c r="B3" s="853"/>
      <c r="C3" s="853"/>
      <c r="D3" s="853"/>
      <c r="E3" s="853"/>
      <c r="F3" s="853"/>
    </row>
    <row r="4" spans="2:9" ht="16.2" thickBot="1">
      <c r="B4" s="1568" t="s">
        <v>797</v>
      </c>
      <c r="C4" s="1568"/>
      <c r="D4" s="1568"/>
      <c r="E4" s="1568"/>
      <c r="F4" s="1568"/>
    </row>
    <row r="5" spans="2:9" ht="21" customHeight="1" thickTop="1">
      <c r="B5" s="882" t="s">
        <v>3539</v>
      </c>
      <c r="C5" s="883"/>
      <c r="D5" s="883"/>
      <c r="E5" s="883"/>
      <c r="F5" s="884">
        <f>+'9a.2-Cash Reconciliation'!F43</f>
        <v>13000627.719999999</v>
      </c>
    </row>
    <row r="6" spans="2:9" ht="21" customHeight="1">
      <c r="B6" s="566"/>
      <c r="C6" s="566"/>
      <c r="D6" s="566"/>
      <c r="E6" s="566"/>
      <c r="F6" s="568"/>
    </row>
    <row r="7" spans="2:9" ht="21" customHeight="1">
      <c r="B7" s="566"/>
      <c r="C7" s="566"/>
      <c r="D7" s="566"/>
      <c r="E7" s="566"/>
      <c r="F7" s="568"/>
    </row>
    <row r="8" spans="2:9" ht="21" customHeight="1">
      <c r="B8" s="566"/>
      <c r="C8" s="566"/>
      <c r="D8" s="566"/>
      <c r="E8" s="566"/>
      <c r="F8" s="568"/>
    </row>
    <row r="9" spans="2:9" ht="21" customHeight="1">
      <c r="B9" s="566"/>
      <c r="C9" s="566"/>
      <c r="D9" s="566"/>
      <c r="E9" s="566"/>
      <c r="F9" s="568"/>
    </row>
    <row r="10" spans="2:9" ht="21" customHeight="1">
      <c r="B10" s="566"/>
      <c r="C10" s="566"/>
      <c r="D10" s="566"/>
      <c r="E10" s="566"/>
      <c r="F10" s="568"/>
      <c r="I10" s="377"/>
    </row>
    <row r="11" spans="2:9" ht="21" customHeight="1">
      <c r="B11" s="566"/>
      <c r="C11" s="566"/>
      <c r="D11" s="566"/>
      <c r="E11" s="566"/>
      <c r="F11" s="568"/>
    </row>
    <row r="12" spans="2:9" ht="21" customHeight="1">
      <c r="B12" s="566"/>
      <c r="C12" s="566"/>
      <c r="D12" s="566"/>
      <c r="E12" s="566"/>
      <c r="F12" s="568"/>
    </row>
    <row r="13" spans="2:9" ht="21" customHeight="1">
      <c r="B13" s="566"/>
      <c r="C13" s="566"/>
      <c r="D13" s="566"/>
      <c r="E13" s="566"/>
      <c r="F13" s="568"/>
    </row>
    <row r="14" spans="2:9" ht="21" customHeight="1">
      <c r="B14" s="566"/>
      <c r="C14" s="566"/>
      <c r="D14" s="566"/>
      <c r="E14" s="566"/>
      <c r="F14" s="568"/>
    </row>
    <row r="15" spans="2:9" ht="21" customHeight="1">
      <c r="B15" s="566"/>
      <c r="C15" s="566"/>
      <c r="D15" s="566"/>
      <c r="E15" s="566"/>
      <c r="F15" s="568"/>
    </row>
    <row r="16" spans="2:9" ht="21" customHeight="1">
      <c r="B16" s="566"/>
      <c r="C16" s="566"/>
      <c r="D16" s="566"/>
      <c r="E16" s="566"/>
      <c r="F16" s="568"/>
    </row>
    <row r="17" spans="2:6" ht="21" customHeight="1">
      <c r="B17" s="566"/>
      <c r="C17" s="566"/>
      <c r="D17" s="566"/>
      <c r="E17" s="566"/>
      <c r="F17" s="568"/>
    </row>
    <row r="18" spans="2:6" ht="21" customHeight="1">
      <c r="B18" s="566"/>
      <c r="C18" s="566"/>
      <c r="D18" s="566"/>
      <c r="E18" s="566"/>
      <c r="F18" s="568"/>
    </row>
    <row r="19" spans="2:6" ht="21" customHeight="1">
      <c r="B19" s="566"/>
      <c r="C19" s="566"/>
      <c r="D19" s="566"/>
      <c r="E19" s="566"/>
      <c r="F19" s="568"/>
    </row>
    <row r="20" spans="2:6" ht="21" customHeight="1">
      <c r="B20" s="566"/>
      <c r="C20" s="566"/>
      <c r="D20" s="566"/>
      <c r="E20" s="566"/>
      <c r="F20" s="568"/>
    </row>
    <row r="21" spans="2:6" ht="21" customHeight="1">
      <c r="B21" s="566"/>
      <c r="C21" s="566"/>
      <c r="D21" s="566"/>
      <c r="E21" s="566"/>
      <c r="F21" s="568"/>
    </row>
    <row r="22" spans="2:6" ht="21" customHeight="1">
      <c r="B22" s="566"/>
      <c r="C22" s="566"/>
      <c r="D22" s="566"/>
      <c r="E22" s="566"/>
      <c r="F22" s="568"/>
    </row>
    <row r="23" spans="2:6" ht="21" customHeight="1">
      <c r="B23" s="566"/>
      <c r="C23" s="566"/>
      <c r="D23" s="566"/>
      <c r="E23" s="566"/>
      <c r="F23" s="568"/>
    </row>
    <row r="24" spans="2:6" ht="21" customHeight="1">
      <c r="B24" s="566"/>
      <c r="C24" s="566"/>
      <c r="D24" s="566"/>
      <c r="E24" s="566"/>
      <c r="F24" s="568"/>
    </row>
    <row r="25" spans="2:6" ht="21" customHeight="1">
      <c r="B25" s="566"/>
      <c r="C25" s="566"/>
      <c r="D25" s="566"/>
      <c r="E25" s="566"/>
      <c r="F25" s="568"/>
    </row>
    <row r="26" spans="2:6" ht="21" customHeight="1">
      <c r="B26" s="566"/>
      <c r="C26" s="566"/>
      <c r="D26" s="566"/>
      <c r="E26" s="566"/>
      <c r="F26" s="568"/>
    </row>
    <row r="27" spans="2:6" ht="21" customHeight="1">
      <c r="B27" s="566"/>
      <c r="C27" s="566"/>
      <c r="D27" s="566"/>
      <c r="E27" s="566"/>
      <c r="F27" s="568"/>
    </row>
    <row r="28" spans="2:6" ht="21" customHeight="1">
      <c r="B28" s="566"/>
      <c r="C28" s="566"/>
      <c r="D28" s="566"/>
      <c r="E28" s="566"/>
      <c r="F28" s="568"/>
    </row>
    <row r="29" spans="2:6" ht="21" customHeight="1">
      <c r="B29" s="566"/>
      <c r="C29" s="566"/>
      <c r="D29" s="566"/>
      <c r="E29" s="566"/>
      <c r="F29" s="568"/>
    </row>
    <row r="30" spans="2:6" ht="21" customHeight="1">
      <c r="B30" s="566"/>
      <c r="C30" s="566"/>
      <c r="D30" s="566"/>
      <c r="E30" s="566"/>
      <c r="F30" s="568"/>
    </row>
    <row r="31" spans="2:6" ht="21" customHeight="1">
      <c r="B31" s="566"/>
      <c r="C31" s="566"/>
      <c r="D31" s="566"/>
      <c r="E31" s="566"/>
      <c r="F31" s="568"/>
    </row>
    <row r="32" spans="2:6" ht="21" customHeight="1">
      <c r="B32" s="566"/>
      <c r="C32" s="566"/>
      <c r="D32" s="566"/>
      <c r="E32" s="566"/>
      <c r="F32" s="568"/>
    </row>
    <row r="33" spans="2:6" ht="21" customHeight="1">
      <c r="B33" s="566"/>
      <c r="C33" s="566"/>
      <c r="D33" s="566"/>
      <c r="E33" s="566"/>
      <c r="F33" s="568"/>
    </row>
    <row r="34" spans="2:6" ht="21" customHeight="1">
      <c r="B34" s="566"/>
      <c r="C34" s="566"/>
      <c r="D34" s="566"/>
      <c r="E34" s="566"/>
      <c r="F34" s="568"/>
    </row>
    <row r="35" spans="2:6" ht="21" customHeight="1">
      <c r="B35" s="566"/>
      <c r="C35" s="566"/>
      <c r="D35" s="566"/>
      <c r="E35" s="566"/>
      <c r="F35" s="568"/>
    </row>
    <row r="36" spans="2:6" ht="21" customHeight="1">
      <c r="B36" s="566"/>
      <c r="C36" s="566"/>
      <c r="D36" s="566"/>
      <c r="E36" s="566"/>
      <c r="F36" s="568"/>
    </row>
    <row r="37" spans="2:6" ht="21" customHeight="1">
      <c r="B37" s="566"/>
      <c r="C37" s="566"/>
      <c r="D37" s="566"/>
      <c r="E37" s="566"/>
      <c r="F37" s="568"/>
    </row>
    <row r="38" spans="2:6" ht="21" customHeight="1">
      <c r="B38" s="566"/>
      <c r="C38" s="566"/>
      <c r="D38" s="566"/>
      <c r="E38" s="566"/>
      <c r="F38" s="568"/>
    </row>
    <row r="39" spans="2:6" ht="21" customHeight="1">
      <c r="B39" s="566"/>
      <c r="C39" s="566"/>
      <c r="D39" s="566"/>
      <c r="E39" s="566"/>
      <c r="F39" s="568"/>
    </row>
    <row r="40" spans="2:6" ht="21" customHeight="1">
      <c r="B40" s="566"/>
      <c r="C40" s="566"/>
      <c r="D40" s="566"/>
      <c r="E40" s="566"/>
      <c r="F40" s="568"/>
    </row>
    <row r="41" spans="2:6" ht="21" customHeight="1">
      <c r="B41" s="566"/>
      <c r="C41" s="566"/>
      <c r="D41" s="566"/>
      <c r="E41" s="566"/>
      <c r="F41" s="568"/>
    </row>
    <row r="42" spans="2:6" ht="21" customHeight="1">
      <c r="B42" s="566"/>
      <c r="C42" s="566"/>
      <c r="D42" s="566"/>
      <c r="E42" s="566"/>
      <c r="F42" s="568"/>
    </row>
    <row r="43" spans="2:6" ht="21" customHeight="1" thickBot="1">
      <c r="B43" s="328" t="s">
        <v>3538</v>
      </c>
      <c r="C43" s="27"/>
      <c r="D43" s="27"/>
      <c r="E43" s="27"/>
      <c r="F43" s="222">
        <f>SUM(F5:F42)</f>
        <v>13000627.719999999</v>
      </c>
    </row>
    <row r="44" spans="2:6" ht="13.8" thickTop="1"/>
    <row r="45" spans="2:6">
      <c r="B45" s="1546" t="s">
        <v>788</v>
      </c>
      <c r="C45" s="1546"/>
      <c r="D45" s="1546"/>
      <c r="E45" s="1546"/>
      <c r="F45" s="1546"/>
    </row>
    <row r="46" spans="2:6">
      <c r="B46" s="1546" t="s">
        <v>798</v>
      </c>
      <c r="C46" s="1546"/>
      <c r="D46" s="1546"/>
      <c r="E46" s="1546"/>
      <c r="F46" s="1546"/>
    </row>
    <row r="47" spans="2:6">
      <c r="B47" s="814"/>
      <c r="C47" s="814"/>
      <c r="D47" s="814"/>
      <c r="E47" s="814"/>
      <c r="F47" s="814"/>
    </row>
    <row r="49" spans="2:6" ht="13.8">
      <c r="B49" s="1507" t="s">
        <v>3527</v>
      </c>
      <c r="C49" s="1507"/>
      <c r="D49" s="1507"/>
      <c r="E49" s="1507"/>
      <c r="F49" s="1507"/>
    </row>
  </sheetData>
  <sheetProtection algorithmName="SHA-512" hashValue="bWuaQyx2VQsA3nXZvfHD6MdJMGaliLhaXWY4scrPo/4tVPzUVpD+T6naY6BE8fMtdktmqJRn0FY0j3jSleQbzw==" saltValue="EwMCfOSjrZxBfaYv2viaRg==" spinCount="100000" sheet="1" scenarios="1"/>
  <customSheetViews>
    <customSheetView guid="{AC653BD0-46E3-42CB-9C76-32121A57B65A}" state="hidden">
      <selection activeCell="B1" sqref="B1"/>
      <pageMargins left="0.25" right="0.25" top="0.5" bottom="0.5" header="0.25" footer="0.25"/>
      <pageSetup paperSize="5" orientation="portrait" r:id="rId1"/>
      <headerFooter alignWithMargins="0"/>
    </customSheetView>
    <customSheetView guid="{B165479B-DC25-403C-9595-F1A88A4AA9A2}" state="hidden">
      <selection activeCell="B1" sqref="B1"/>
      <pageMargins left="0.25" right="0.25" top="0.5" bottom="0.5" header="0.25" footer="0.25"/>
      <pageSetup paperSize="5" orientation="portrait" r:id="rId2"/>
      <headerFooter alignWithMargins="0"/>
    </customSheetView>
    <customSheetView guid="{A64E4C9E-A3DA-4AAA-8607-F524450B9436}" state="hidden">
      <selection activeCell="B1" sqref="B1"/>
      <pageMargins left="0.25" right="0.25" top="0.5" bottom="0.5" header="0.25" footer="0.25"/>
      <pageSetup paperSize="5" orientation="portrait" r:id="rId3"/>
      <headerFooter alignWithMargins="0"/>
    </customSheetView>
    <customSheetView guid="{AB4FBD91-4533-473A-9702-569FF6402073}" state="hidden">
      <selection activeCell="B1" sqref="B1"/>
      <pageMargins left="0.25" right="0.25" top="0.5" bottom="0.5" header="0.25" footer="0.25"/>
      <pageSetup paperSize="5" orientation="portrait" r:id="rId4"/>
      <headerFooter alignWithMargins="0"/>
    </customSheetView>
  </customSheetViews>
  <mergeCells count="5">
    <mergeCell ref="B2:F2"/>
    <mergeCell ref="B4:F4"/>
    <mergeCell ref="B45:F45"/>
    <mergeCell ref="B46:F46"/>
    <mergeCell ref="B49:F49"/>
  </mergeCells>
  <pageMargins left="0.25" right="0.25" top="0.5" bottom="0.5" header="0.25" footer="0.25"/>
  <pageSetup paperSize="5" orientation="portrait"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I49"/>
  <sheetViews>
    <sheetView topLeftCell="A52" zoomScaleNormal="100" workbookViewId="0">
      <selection activeCell="B3" sqref="B3:O3"/>
    </sheetView>
  </sheetViews>
  <sheetFormatPr defaultColWidth="9.109375" defaultRowHeight="13.2"/>
  <cols>
    <col min="1" max="4" width="4.6640625" style="322" customWidth="1"/>
    <col min="5" max="5" width="63.6640625" style="322" customWidth="1"/>
    <col min="6" max="6" width="16.5546875" style="322" customWidth="1"/>
    <col min="7" max="16384" width="9.109375" style="322"/>
  </cols>
  <sheetData>
    <row r="1" spans="1:9">
      <c r="A1" s="853"/>
      <c r="B1" s="853"/>
      <c r="C1" s="853"/>
      <c r="D1" s="853"/>
      <c r="E1" s="853"/>
      <c r="F1" s="853"/>
    </row>
    <row r="2" spans="1:9" ht="22.8">
      <c r="A2" s="853"/>
      <c r="B2" s="1594" t="str">
        <f>'9a-Cash Reconciliation'!B2:F2</f>
        <v xml:space="preserve">  CASH  RECONCILIATION  DECEMBER  31, 2019 (cont'd)  </v>
      </c>
      <c r="C2" s="1594"/>
      <c r="D2" s="1594"/>
      <c r="E2" s="1594"/>
      <c r="F2" s="1594"/>
      <c r="G2" s="736"/>
      <c r="H2" s="736"/>
      <c r="I2" s="736"/>
    </row>
    <row r="3" spans="1:9">
      <c r="A3" s="853"/>
      <c r="B3" s="853"/>
      <c r="C3" s="853"/>
      <c r="D3" s="853"/>
      <c r="E3" s="853"/>
      <c r="F3" s="853"/>
    </row>
    <row r="4" spans="1:9" ht="16.2" thickBot="1">
      <c r="A4" s="853"/>
      <c r="B4" s="1568" t="s">
        <v>797</v>
      </c>
      <c r="C4" s="1568"/>
      <c r="D4" s="1568"/>
      <c r="E4" s="1568"/>
      <c r="F4" s="1568"/>
    </row>
    <row r="5" spans="1:9" ht="21" customHeight="1" thickTop="1">
      <c r="A5" s="853"/>
      <c r="B5" s="882" t="s">
        <v>3539</v>
      </c>
      <c r="C5" s="883"/>
      <c r="D5" s="883"/>
      <c r="E5" s="883"/>
      <c r="F5" s="884">
        <f>+'9a.3-Cash Reconciliation'!F43</f>
        <v>13000627.719999999</v>
      </c>
    </row>
    <row r="6" spans="1:9" ht="21" customHeight="1">
      <c r="B6" s="566"/>
      <c r="C6" s="566"/>
      <c r="D6" s="566"/>
      <c r="E6" s="566"/>
      <c r="F6" s="568"/>
    </row>
    <row r="7" spans="1:9" ht="21" customHeight="1">
      <c r="B7" s="566"/>
      <c r="C7" s="566"/>
      <c r="D7" s="566"/>
      <c r="E7" s="566"/>
      <c r="F7" s="568"/>
    </row>
    <row r="8" spans="1:9" ht="21" customHeight="1">
      <c r="B8" s="566"/>
      <c r="C8" s="566"/>
      <c r="D8" s="566"/>
      <c r="E8" s="566"/>
      <c r="F8" s="568"/>
    </row>
    <row r="9" spans="1:9" ht="21" customHeight="1">
      <c r="B9" s="566"/>
      <c r="C9" s="566"/>
      <c r="D9" s="566"/>
      <c r="E9" s="566"/>
      <c r="F9" s="568"/>
    </row>
    <row r="10" spans="1:9" ht="21" customHeight="1">
      <c r="B10" s="566"/>
      <c r="C10" s="566"/>
      <c r="D10" s="566"/>
      <c r="E10" s="566"/>
      <c r="F10" s="568"/>
      <c r="I10" s="377"/>
    </row>
    <row r="11" spans="1:9" ht="21" customHeight="1">
      <c r="B11" s="566"/>
      <c r="C11" s="566"/>
      <c r="D11" s="566"/>
      <c r="E11" s="566"/>
      <c r="F11" s="568"/>
    </row>
    <row r="12" spans="1:9" ht="21" customHeight="1">
      <c r="B12" s="566"/>
      <c r="C12" s="566"/>
      <c r="D12" s="566"/>
      <c r="E12" s="566"/>
      <c r="F12" s="568"/>
    </row>
    <row r="13" spans="1:9" ht="21" customHeight="1">
      <c r="B13" s="566"/>
      <c r="C13" s="566"/>
      <c r="D13" s="566"/>
      <c r="E13" s="566"/>
      <c r="F13" s="568"/>
    </row>
    <row r="14" spans="1:9" ht="21" customHeight="1">
      <c r="B14" s="566"/>
      <c r="C14" s="566"/>
      <c r="D14" s="566"/>
      <c r="E14" s="566"/>
      <c r="F14" s="568"/>
    </row>
    <row r="15" spans="1:9" ht="21" customHeight="1">
      <c r="B15" s="566"/>
      <c r="C15" s="566"/>
      <c r="D15" s="566"/>
      <c r="E15" s="566"/>
      <c r="F15" s="568"/>
    </row>
    <row r="16" spans="1:9" ht="21" customHeight="1">
      <c r="B16" s="566"/>
      <c r="C16" s="566"/>
      <c r="D16" s="566"/>
      <c r="E16" s="566"/>
      <c r="F16" s="568"/>
    </row>
    <row r="17" spans="2:6" ht="21" customHeight="1">
      <c r="B17" s="566"/>
      <c r="C17" s="566"/>
      <c r="D17" s="566"/>
      <c r="E17" s="566"/>
      <c r="F17" s="568"/>
    </row>
    <row r="18" spans="2:6" ht="21" customHeight="1">
      <c r="B18" s="566"/>
      <c r="C18" s="566"/>
      <c r="D18" s="566"/>
      <c r="E18" s="566"/>
      <c r="F18" s="568"/>
    </row>
    <row r="19" spans="2:6" ht="21" customHeight="1">
      <c r="B19" s="566"/>
      <c r="C19" s="566"/>
      <c r="D19" s="566"/>
      <c r="E19" s="566"/>
      <c r="F19" s="568"/>
    </row>
    <row r="20" spans="2:6" ht="21" customHeight="1">
      <c r="B20" s="566"/>
      <c r="C20" s="566"/>
      <c r="D20" s="566"/>
      <c r="E20" s="566"/>
      <c r="F20" s="568"/>
    </row>
    <row r="21" spans="2:6" ht="21" customHeight="1">
      <c r="B21" s="566"/>
      <c r="C21" s="566"/>
      <c r="D21" s="566"/>
      <c r="E21" s="566"/>
      <c r="F21" s="568"/>
    </row>
    <row r="22" spans="2:6" ht="21" customHeight="1">
      <c r="B22" s="566"/>
      <c r="C22" s="566"/>
      <c r="D22" s="566"/>
      <c r="E22" s="566"/>
      <c r="F22" s="568"/>
    </row>
    <row r="23" spans="2:6" ht="21" customHeight="1">
      <c r="B23" s="566"/>
      <c r="C23" s="566"/>
      <c r="D23" s="566"/>
      <c r="E23" s="566"/>
      <c r="F23" s="568"/>
    </row>
    <row r="24" spans="2:6" ht="21" customHeight="1">
      <c r="B24" s="566"/>
      <c r="C24" s="566"/>
      <c r="D24" s="566"/>
      <c r="E24" s="566"/>
      <c r="F24" s="568"/>
    </row>
    <row r="25" spans="2:6" ht="21" customHeight="1">
      <c r="B25" s="566"/>
      <c r="C25" s="566"/>
      <c r="D25" s="566"/>
      <c r="E25" s="566"/>
      <c r="F25" s="568"/>
    </row>
    <row r="26" spans="2:6" ht="21" customHeight="1">
      <c r="B26" s="566"/>
      <c r="C26" s="566"/>
      <c r="D26" s="566"/>
      <c r="E26" s="566"/>
      <c r="F26" s="568"/>
    </row>
    <row r="27" spans="2:6" ht="21" customHeight="1">
      <c r="B27" s="566"/>
      <c r="C27" s="566"/>
      <c r="D27" s="566"/>
      <c r="E27" s="566"/>
      <c r="F27" s="568"/>
    </row>
    <row r="28" spans="2:6" ht="21" customHeight="1">
      <c r="B28" s="566"/>
      <c r="C28" s="566"/>
      <c r="D28" s="566"/>
      <c r="E28" s="566"/>
      <c r="F28" s="568"/>
    </row>
    <row r="29" spans="2:6" ht="21" customHeight="1">
      <c r="B29" s="566"/>
      <c r="C29" s="566"/>
      <c r="D29" s="566"/>
      <c r="E29" s="566"/>
      <c r="F29" s="568"/>
    </row>
    <row r="30" spans="2:6" ht="21" customHeight="1">
      <c r="B30" s="566"/>
      <c r="C30" s="566"/>
      <c r="D30" s="566"/>
      <c r="E30" s="566"/>
      <c r="F30" s="568"/>
    </row>
    <row r="31" spans="2:6" ht="21" customHeight="1">
      <c r="B31" s="566"/>
      <c r="C31" s="566"/>
      <c r="D31" s="566"/>
      <c r="E31" s="566"/>
      <c r="F31" s="568"/>
    </row>
    <row r="32" spans="2:6" ht="21" customHeight="1">
      <c r="B32" s="566"/>
      <c r="C32" s="566"/>
      <c r="D32" s="566"/>
      <c r="E32" s="566"/>
      <c r="F32" s="568"/>
    </row>
    <row r="33" spans="2:6" ht="21" customHeight="1">
      <c r="B33" s="566"/>
      <c r="C33" s="566"/>
      <c r="D33" s="566"/>
      <c r="E33" s="566"/>
      <c r="F33" s="568"/>
    </row>
    <row r="34" spans="2:6" ht="21" customHeight="1">
      <c r="B34" s="566"/>
      <c r="C34" s="566"/>
      <c r="D34" s="566"/>
      <c r="E34" s="566"/>
      <c r="F34" s="568"/>
    </row>
    <row r="35" spans="2:6" ht="21" customHeight="1">
      <c r="B35" s="566"/>
      <c r="C35" s="566"/>
      <c r="D35" s="566"/>
      <c r="E35" s="566"/>
      <c r="F35" s="568"/>
    </row>
    <row r="36" spans="2:6" ht="21" customHeight="1">
      <c r="B36" s="566"/>
      <c r="C36" s="566"/>
      <c r="D36" s="566"/>
      <c r="E36" s="566"/>
      <c r="F36" s="568"/>
    </row>
    <row r="37" spans="2:6" ht="21" customHeight="1">
      <c r="B37" s="566"/>
      <c r="C37" s="566"/>
      <c r="D37" s="566"/>
      <c r="E37" s="566"/>
      <c r="F37" s="568"/>
    </row>
    <row r="38" spans="2:6" ht="21" customHeight="1">
      <c r="B38" s="566"/>
      <c r="C38" s="566"/>
      <c r="D38" s="566"/>
      <c r="E38" s="566"/>
      <c r="F38" s="568"/>
    </row>
    <row r="39" spans="2:6" ht="21" customHeight="1">
      <c r="B39" s="566"/>
      <c r="C39" s="566"/>
      <c r="D39" s="566"/>
      <c r="E39" s="566"/>
      <c r="F39" s="568"/>
    </row>
    <row r="40" spans="2:6" ht="21" customHeight="1">
      <c r="B40" s="566"/>
      <c r="C40" s="566"/>
      <c r="D40" s="566"/>
      <c r="E40" s="566"/>
      <c r="F40" s="568"/>
    </row>
    <row r="41" spans="2:6" ht="21" customHeight="1">
      <c r="B41" s="566"/>
      <c r="C41" s="566"/>
      <c r="D41" s="566"/>
      <c r="E41" s="566"/>
      <c r="F41" s="568"/>
    </row>
    <row r="42" spans="2:6" ht="21" customHeight="1">
      <c r="B42" s="566"/>
      <c r="C42" s="566"/>
      <c r="D42" s="566"/>
      <c r="E42" s="566"/>
      <c r="F42" s="568"/>
    </row>
    <row r="43" spans="2:6" ht="21" customHeight="1" thickBot="1">
      <c r="B43" s="328" t="s">
        <v>3641</v>
      </c>
      <c r="C43" s="27"/>
      <c r="D43" s="27"/>
      <c r="E43" s="27"/>
      <c r="F43" s="222">
        <f>SUM(F5:F42)</f>
        <v>13000627.719999999</v>
      </c>
    </row>
    <row r="44" spans="2:6" ht="13.8" thickTop="1"/>
    <row r="45" spans="2:6">
      <c r="B45" s="1546" t="s">
        <v>788</v>
      </c>
      <c r="C45" s="1546"/>
      <c r="D45" s="1546"/>
      <c r="E45" s="1546"/>
      <c r="F45" s="1546"/>
    </row>
    <row r="46" spans="2:6">
      <c r="B46" s="1546" t="s">
        <v>798</v>
      </c>
      <c r="C46" s="1546"/>
      <c r="D46" s="1546"/>
      <c r="E46" s="1546"/>
      <c r="F46" s="1546"/>
    </row>
    <row r="47" spans="2:6">
      <c r="B47" s="814"/>
      <c r="C47" s="814"/>
      <c r="D47" s="814"/>
      <c r="E47" s="814"/>
      <c r="F47" s="814"/>
    </row>
    <row r="49" spans="2:6" ht="13.8">
      <c r="B49" s="1507" t="s">
        <v>3543</v>
      </c>
      <c r="C49" s="1507"/>
      <c r="D49" s="1507"/>
      <c r="E49" s="1507"/>
      <c r="F49" s="1507"/>
    </row>
  </sheetData>
  <sheetProtection algorithmName="SHA-512" hashValue="3Cu3ttYQuzSZDr6tZ/+G9rkAgpHs6VkKHLJ6oVKQcX1Dv4XKbtiL27uSnqTRiDAyc9g45OwY682f9JvN6hFkGA==" saltValue="B3ZmPU+6Bi2pp/S1C7qSBg==" spinCount="100000" sheet="1" scenarios="1"/>
  <customSheetViews>
    <customSheetView guid="{AC653BD0-46E3-42CB-9C76-32121A57B65A}">
      <selection activeCell="B1" sqref="B1"/>
      <pageMargins left="0.25" right="0.25" top="0.5" bottom="0.5" header="0.25" footer="0.25"/>
      <pageSetup paperSize="5" orientation="portrait" r:id="rId1"/>
      <headerFooter alignWithMargins="0"/>
    </customSheetView>
    <customSheetView guid="{B165479B-DC25-403C-9595-F1A88A4AA9A2}">
      <selection activeCell="B1" sqref="B1"/>
      <pageMargins left="0.25" right="0.25" top="0.5" bottom="0.5" header="0.25" footer="0.25"/>
      <pageSetup paperSize="5" orientation="portrait" r:id="rId2"/>
      <headerFooter alignWithMargins="0"/>
    </customSheetView>
    <customSheetView guid="{A64E4C9E-A3DA-4AAA-8607-F524450B9436}">
      <selection activeCell="B1" sqref="B1"/>
      <pageMargins left="0.25" right="0.25" top="0.5" bottom="0.5" header="0.25" footer="0.25"/>
      <pageSetup paperSize="5" orientation="portrait" r:id="rId3"/>
      <headerFooter alignWithMargins="0"/>
    </customSheetView>
    <customSheetView guid="{AB4FBD91-4533-473A-9702-569FF6402073}">
      <selection activeCell="B1" sqref="B1"/>
      <pageMargins left="0.25" right="0.25" top="0.5" bottom="0.5" header="0.25" footer="0.25"/>
      <pageSetup paperSize="5" orientation="portrait" r:id="rId4"/>
      <headerFooter alignWithMargins="0"/>
    </customSheetView>
  </customSheetViews>
  <mergeCells count="5">
    <mergeCell ref="B2:F2"/>
    <mergeCell ref="B4:F4"/>
    <mergeCell ref="B45:F45"/>
    <mergeCell ref="B46:F46"/>
    <mergeCell ref="B49:F49"/>
  </mergeCells>
  <pageMargins left="0.25" right="0.25" top="0.5" bottom="0.5" header="0.25" footer="0.25"/>
  <pageSetup paperSize="5" orientation="portrait"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31"/>
  <sheetViews>
    <sheetView topLeftCell="A25" zoomScaleNormal="100" workbookViewId="0">
      <selection activeCell="B3" sqref="B3:O3"/>
    </sheetView>
  </sheetViews>
  <sheetFormatPr defaultRowHeight="13.2"/>
  <cols>
    <col min="1" max="1" width="5.6640625" customWidth="1"/>
    <col min="2" max="4" width="4.88671875" customWidth="1"/>
    <col min="5" max="5" width="36.44140625" customWidth="1"/>
    <col min="6" max="11" width="15.6640625" customWidth="1"/>
    <col min="12" max="12" width="11.88671875" bestFit="1" customWidth="1"/>
  </cols>
  <sheetData>
    <row r="1" spans="1:14">
      <c r="B1" s="322"/>
      <c r="C1" s="322"/>
      <c r="D1" s="322"/>
      <c r="E1" s="322"/>
      <c r="F1" s="322"/>
      <c r="G1" s="322"/>
      <c r="H1" s="322"/>
      <c r="I1" s="322"/>
      <c r="J1" s="322"/>
      <c r="K1" s="322"/>
    </row>
    <row r="2" spans="1:14" ht="20.399999999999999">
      <c r="B2" s="1508" t="s">
        <v>296</v>
      </c>
      <c r="C2" s="1508"/>
      <c r="D2" s="1508"/>
      <c r="E2" s="1508"/>
      <c r="F2" s="1508"/>
      <c r="G2" s="1508"/>
      <c r="H2" s="1508"/>
      <c r="I2" s="1508"/>
      <c r="J2" s="1508"/>
      <c r="K2" s="1508"/>
    </row>
    <row r="3" spans="1:14" ht="21" thickBot="1">
      <c r="B3" s="1508" t="s">
        <v>297</v>
      </c>
      <c r="C3" s="1508"/>
      <c r="D3" s="1508"/>
      <c r="E3" s="1508"/>
      <c r="F3" s="1508"/>
      <c r="G3" s="1508"/>
      <c r="H3" s="1508"/>
      <c r="I3" s="1508"/>
      <c r="J3" s="1508"/>
      <c r="K3" s="1508"/>
    </row>
    <row r="4" spans="1:14" ht="13.8" thickTop="1">
      <c r="B4" s="11"/>
      <c r="C4" s="11"/>
      <c r="D4" s="11"/>
      <c r="E4" s="11"/>
      <c r="F4" s="12"/>
      <c r="G4" s="12">
        <f>'KEY INPUTS'!D34</f>
        <v>2019</v>
      </c>
      <c r="H4" s="12"/>
      <c r="I4" s="6"/>
      <c r="J4" s="11"/>
      <c r="K4" s="18"/>
    </row>
    <row r="5" spans="1:14">
      <c r="B5" s="1546" t="s">
        <v>804</v>
      </c>
      <c r="C5" s="1546"/>
      <c r="D5" s="1546"/>
      <c r="E5" s="1595"/>
      <c r="F5" s="282" t="s">
        <v>671</v>
      </c>
      <c r="G5" s="282" t="s">
        <v>676</v>
      </c>
      <c r="H5" s="282" t="s">
        <v>803</v>
      </c>
      <c r="I5" s="788" t="s">
        <v>280</v>
      </c>
      <c r="J5" s="255" t="s">
        <v>566</v>
      </c>
      <c r="K5" s="864" t="s">
        <v>671</v>
      </c>
    </row>
    <row r="6" spans="1:14">
      <c r="B6" s="322"/>
      <c r="C6" s="322"/>
      <c r="D6" s="322"/>
      <c r="E6" s="322"/>
      <c r="F6" s="299" t="str">
        <f>'KEY INPUTS'!D47</f>
        <v>Jan. 1, 2019</v>
      </c>
      <c r="G6" s="282" t="s">
        <v>801</v>
      </c>
      <c r="H6" s="282"/>
      <c r="I6" s="15"/>
      <c r="J6" s="819"/>
      <c r="K6" s="865" t="str">
        <f>'KEY INPUTS'!D46</f>
        <v>Dec. 31, 2019</v>
      </c>
    </row>
    <row r="7" spans="1:14" ht="13.8" thickBot="1">
      <c r="B7" s="10"/>
      <c r="C7" s="10"/>
      <c r="D7" s="10"/>
      <c r="E7" s="10"/>
      <c r="F7" s="14"/>
      <c r="G7" s="16" t="s">
        <v>802</v>
      </c>
      <c r="H7" s="14"/>
      <c r="I7" s="14"/>
      <c r="J7" s="17"/>
      <c r="K7" s="866"/>
    </row>
    <row r="8" spans="1:14" ht="21" customHeight="1" thickTop="1">
      <c r="B8" s="642" t="s">
        <v>3840</v>
      </c>
      <c r="C8" s="569"/>
      <c r="D8" s="569"/>
      <c r="E8" s="570"/>
      <c r="F8" s="571">
        <v>87000</v>
      </c>
      <c r="G8" s="571"/>
      <c r="H8" s="571"/>
      <c r="I8" s="571"/>
      <c r="J8" s="571"/>
      <c r="K8" s="885">
        <f>+F8+G8-H8+I8-J8</f>
        <v>87000</v>
      </c>
    </row>
    <row r="9" spans="1:14" ht="21" customHeight="1">
      <c r="B9" s="566" t="s">
        <v>3841</v>
      </c>
      <c r="C9" s="765"/>
      <c r="D9" s="566"/>
      <c r="E9" s="572"/>
      <c r="F9" s="374"/>
      <c r="G9" s="374"/>
      <c r="H9" s="374"/>
      <c r="I9" s="374"/>
      <c r="J9" s="374"/>
      <c r="K9" s="844">
        <f t="shared" ref="K9:K26" si="0">+F9+G9-H9+I9-J9</f>
        <v>0</v>
      </c>
      <c r="L9" s="325"/>
    </row>
    <row r="10" spans="1:14" ht="21" customHeight="1">
      <c r="B10" s="566" t="s">
        <v>3842</v>
      </c>
      <c r="C10" s="766"/>
      <c r="D10" s="566"/>
      <c r="E10" s="572"/>
      <c r="F10" s="374"/>
      <c r="G10" s="374">
        <v>60000</v>
      </c>
      <c r="H10" s="374">
        <v>60000</v>
      </c>
      <c r="I10" s="374"/>
      <c r="J10" s="374"/>
      <c r="K10" s="844">
        <f t="shared" si="0"/>
        <v>0</v>
      </c>
      <c r="L10" s="228"/>
      <c r="N10" s="377"/>
    </row>
    <row r="11" spans="1:14" ht="21" customHeight="1">
      <c r="B11" s="567" t="s">
        <v>3843</v>
      </c>
      <c r="C11" s="767"/>
      <c r="D11" s="566"/>
      <c r="E11" s="572"/>
      <c r="F11" s="374"/>
      <c r="G11" s="374">
        <v>130000</v>
      </c>
      <c r="H11" s="374">
        <v>130000</v>
      </c>
      <c r="I11" s="374"/>
      <c r="J11" s="374"/>
      <c r="K11" s="844">
        <f t="shared" si="0"/>
        <v>0</v>
      </c>
      <c r="L11" s="228"/>
    </row>
    <row r="12" spans="1:14" ht="21" customHeight="1">
      <c r="B12" s="566"/>
      <c r="C12" s="765"/>
      <c r="D12" s="566"/>
      <c r="E12" s="572"/>
      <c r="F12" s="374"/>
      <c r="G12" s="374"/>
      <c r="H12" s="374"/>
      <c r="I12" s="374"/>
      <c r="J12" s="374"/>
      <c r="K12" s="844">
        <f t="shared" si="0"/>
        <v>0</v>
      </c>
      <c r="L12" s="228"/>
    </row>
    <row r="13" spans="1:14" ht="21" customHeight="1">
      <c r="B13" s="566" t="s">
        <v>3844</v>
      </c>
      <c r="C13" s="766"/>
      <c r="D13" s="566"/>
      <c r="E13" s="572"/>
      <c r="F13" s="374">
        <v>100000</v>
      </c>
      <c r="G13" s="374"/>
      <c r="H13" s="374">
        <v>100000</v>
      </c>
      <c r="I13" s="374"/>
      <c r="J13" s="374"/>
      <c r="K13" s="844">
        <f t="shared" si="0"/>
        <v>0</v>
      </c>
      <c r="L13" s="228"/>
    </row>
    <row r="14" spans="1:14" ht="21" customHeight="1">
      <c r="B14" s="566" t="s">
        <v>3845</v>
      </c>
      <c r="C14" s="765"/>
      <c r="D14" s="566"/>
      <c r="E14" s="572"/>
      <c r="F14" s="374"/>
      <c r="G14" s="374">
        <v>2009.37</v>
      </c>
      <c r="H14" s="374">
        <v>2009.37</v>
      </c>
      <c r="I14" s="374"/>
      <c r="J14" s="374"/>
      <c r="K14" s="844">
        <f t="shared" si="0"/>
        <v>0</v>
      </c>
      <c r="L14" s="228"/>
    </row>
    <row r="15" spans="1:14" ht="21" customHeight="1">
      <c r="A15" s="1577" t="s">
        <v>800</v>
      </c>
      <c r="B15" s="566" t="s">
        <v>3846</v>
      </c>
      <c r="C15" s="765"/>
      <c r="D15" s="566"/>
      <c r="E15" s="572"/>
      <c r="F15" s="374"/>
      <c r="G15" s="374">
        <v>15829.63</v>
      </c>
      <c r="H15" s="374">
        <v>15829.63</v>
      </c>
      <c r="I15" s="374"/>
      <c r="J15" s="374"/>
      <c r="K15" s="844">
        <f t="shared" si="0"/>
        <v>0</v>
      </c>
      <c r="L15" s="228"/>
    </row>
    <row r="16" spans="1:14" ht="21" customHeight="1">
      <c r="A16" s="1577"/>
      <c r="B16" s="566" t="s">
        <v>3847</v>
      </c>
      <c r="C16" s="767"/>
      <c r="D16" s="566"/>
      <c r="E16" s="572"/>
      <c r="F16" s="374"/>
      <c r="G16" s="374">
        <v>26254.39</v>
      </c>
      <c r="H16" s="374">
        <v>26254.39</v>
      </c>
      <c r="I16" s="374"/>
      <c r="J16" s="374"/>
      <c r="K16" s="844">
        <f t="shared" si="0"/>
        <v>0</v>
      </c>
      <c r="L16" s="228"/>
    </row>
    <row r="17" spans="1:12" ht="21" customHeight="1">
      <c r="A17" s="1577"/>
      <c r="B17" s="566"/>
      <c r="C17" s="765"/>
      <c r="D17" s="566"/>
      <c r="E17" s="572"/>
      <c r="F17" s="374"/>
      <c r="G17" s="374"/>
      <c r="H17" s="374"/>
      <c r="I17" s="374"/>
      <c r="J17" s="374"/>
      <c r="K17" s="844">
        <f t="shared" si="0"/>
        <v>0</v>
      </c>
      <c r="L17" s="228"/>
    </row>
    <row r="18" spans="1:12" ht="21" customHeight="1">
      <c r="B18" s="566" t="s">
        <v>3848</v>
      </c>
      <c r="C18" s="766"/>
      <c r="D18" s="566"/>
      <c r="E18" s="572"/>
      <c r="F18" s="374"/>
      <c r="G18" s="374">
        <v>3229.96</v>
      </c>
      <c r="H18" s="374">
        <v>3229.96</v>
      </c>
      <c r="I18" s="374">
        <v>3229.96</v>
      </c>
      <c r="J18" s="374"/>
      <c r="K18" s="844">
        <f t="shared" si="0"/>
        <v>3229.96</v>
      </c>
      <c r="L18" s="228"/>
    </row>
    <row r="19" spans="1:12" ht="21" customHeight="1">
      <c r="B19" s="567" t="s">
        <v>3849</v>
      </c>
      <c r="C19" s="765"/>
      <c r="D19" s="566"/>
      <c r="E19" s="572"/>
      <c r="F19" s="374"/>
      <c r="G19" s="374">
        <v>3018.04</v>
      </c>
      <c r="H19" s="374"/>
      <c r="I19" s="374"/>
      <c r="J19" s="374"/>
      <c r="K19" s="844">
        <f t="shared" si="0"/>
        <v>3018.04</v>
      </c>
      <c r="L19" s="228"/>
    </row>
    <row r="20" spans="1:12" s="322" customFormat="1" ht="21" customHeight="1">
      <c r="B20" s="566"/>
      <c r="C20" s="765"/>
      <c r="D20" s="567"/>
      <c r="E20" s="572"/>
      <c r="F20" s="374"/>
      <c r="G20" s="374"/>
      <c r="H20" s="374"/>
      <c r="I20" s="374"/>
      <c r="J20" s="374"/>
      <c r="K20" s="844">
        <f t="shared" si="0"/>
        <v>0</v>
      </c>
      <c r="L20" s="325"/>
    </row>
    <row r="21" spans="1:12" ht="21" customHeight="1">
      <c r="B21" s="566" t="s">
        <v>3850</v>
      </c>
      <c r="C21" s="765"/>
      <c r="D21" s="566"/>
      <c r="E21" s="572"/>
      <c r="F21" s="374"/>
      <c r="G21" s="374">
        <v>5000</v>
      </c>
      <c r="H21" s="374"/>
      <c r="I21" s="374"/>
      <c r="J21" s="374"/>
      <c r="K21" s="844">
        <f t="shared" si="0"/>
        <v>5000</v>
      </c>
      <c r="L21" s="228"/>
    </row>
    <row r="22" spans="1:12" s="322" customFormat="1" ht="21" customHeight="1">
      <c r="B22" s="566" t="s">
        <v>3851</v>
      </c>
      <c r="C22" s="765"/>
      <c r="D22" s="566"/>
      <c r="E22" s="572"/>
      <c r="F22" s="374"/>
      <c r="G22" s="374">
        <v>1000</v>
      </c>
      <c r="H22" s="374">
        <v>1000</v>
      </c>
      <c r="I22" s="374"/>
      <c r="J22" s="374"/>
      <c r="K22" s="844">
        <f t="shared" si="0"/>
        <v>0</v>
      </c>
      <c r="L22" s="325"/>
    </row>
    <row r="23" spans="1:12" ht="21" customHeight="1">
      <c r="B23" s="566"/>
      <c r="C23" s="766"/>
      <c r="D23" s="566"/>
      <c r="E23" s="572"/>
      <c r="F23" s="374"/>
      <c r="G23" s="374"/>
      <c r="H23" s="374"/>
      <c r="I23" s="374"/>
      <c r="J23" s="374"/>
      <c r="K23" s="844">
        <f t="shared" si="0"/>
        <v>0</v>
      </c>
    </row>
    <row r="24" spans="1:12" ht="21" customHeight="1">
      <c r="B24" s="566"/>
      <c r="C24" s="766"/>
      <c r="D24" s="566"/>
      <c r="E24" s="572"/>
      <c r="F24" s="374"/>
      <c r="G24" s="374"/>
      <c r="H24" s="374"/>
      <c r="I24" s="374"/>
      <c r="J24" s="374"/>
      <c r="K24" s="844">
        <f t="shared" si="0"/>
        <v>0</v>
      </c>
      <c r="L24" s="228"/>
    </row>
    <row r="25" spans="1:12" ht="21" customHeight="1">
      <c r="B25" s="566"/>
      <c r="C25" s="766"/>
      <c r="D25" s="566"/>
      <c r="E25" s="572"/>
      <c r="F25" s="374"/>
      <c r="G25" s="374"/>
      <c r="H25" s="374"/>
      <c r="I25" s="374"/>
      <c r="J25" s="374"/>
      <c r="K25" s="844">
        <f t="shared" si="0"/>
        <v>0</v>
      </c>
      <c r="L25" s="228"/>
    </row>
    <row r="26" spans="1:12" ht="21" customHeight="1">
      <c r="B26" s="566"/>
      <c r="C26" s="766"/>
      <c r="D26" s="566"/>
      <c r="E26" s="572"/>
      <c r="F26" s="374"/>
      <c r="G26" s="374"/>
      <c r="H26" s="374"/>
      <c r="I26" s="374"/>
      <c r="J26" s="374"/>
      <c r="K26" s="844">
        <f t="shared" si="0"/>
        <v>0</v>
      </c>
    </row>
    <row r="27" spans="1:12" ht="21" customHeight="1" thickBot="1">
      <c r="B27" s="27"/>
      <c r="C27" s="27" t="s">
        <v>3545</v>
      </c>
      <c r="D27" s="27"/>
      <c r="E27" s="41"/>
      <c r="F27" s="99">
        <f t="shared" ref="F27:J27" si="1">SUM(F8:F26)</f>
        <v>187000</v>
      </c>
      <c r="G27" s="99">
        <f t="shared" si="1"/>
        <v>246341.39</v>
      </c>
      <c r="H27" s="99">
        <f t="shared" si="1"/>
        <v>338323.35000000003</v>
      </c>
      <c r="I27" s="99">
        <f t="shared" si="1"/>
        <v>3229.96</v>
      </c>
      <c r="J27" s="99">
        <f t="shared" si="1"/>
        <v>0</v>
      </c>
      <c r="K27" s="862">
        <f>SUM(K8:K26)</f>
        <v>98248</v>
      </c>
      <c r="L27" s="710"/>
    </row>
    <row r="28" spans="1:12" ht="13.8" thickTop="1"/>
    <row r="29" spans="1:12">
      <c r="F29" s="228"/>
      <c r="K29" s="228"/>
      <c r="L29" s="312"/>
    </row>
    <row r="31" spans="1:12">
      <c r="F31" s="287"/>
      <c r="G31" s="312"/>
      <c r="H31" s="325"/>
      <c r="K31" s="287"/>
    </row>
  </sheetData>
  <sheetProtection algorithmName="SHA-512" hashValue="1D7mRvf2ijXJVfCaFHSGEs5UuFTx9+feyniXPb4IwsGqdYzPvF3pvsu77+2BR+xSqOg386nBEnCrgM+vsQS5Dw==" saltValue="N/bJpJUDP8P+KosTSW1SWA=="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topLeftCell="A13">
      <selection activeCell="O26" sqref="O26"/>
      <pageMargins left="0.25" right="0.25" top="0.5" bottom="0.5" header="0.25" footer="0.25"/>
      <pageSetup paperSize="5" orientation="landscape" r:id="rId2"/>
      <headerFooter alignWithMargins="0"/>
    </customSheetView>
    <customSheetView guid="{A64E4C9E-A3DA-4AAA-8607-F524450B9436}" topLeftCell="A13">
      <selection activeCell="O26" sqref="O26"/>
      <pageMargins left="0.25" right="0.25" top="0.5" bottom="0.5" header="0.25" footer="0.25"/>
      <pageSetup paperSize="5" orientation="landscape" r:id="rId3"/>
      <headerFooter alignWithMargins="0"/>
    </customSheetView>
    <customSheetView guid="{AB4FBD91-4533-473A-9702-569FF6402073}" topLeftCell="A13">
      <selection activeCell="O26" sqref="O26"/>
      <pageMargins left="0.25" right="0.25" top="0.5" bottom="0.5" header="0.25" footer="0.25"/>
      <pageSetup paperSize="5" orientation="landscape" r:id="rId4"/>
      <headerFooter alignWithMargins="0"/>
    </customSheetView>
  </customSheetViews>
  <mergeCells count="4">
    <mergeCell ref="B2:K2"/>
    <mergeCell ref="B3:K3"/>
    <mergeCell ref="A15:A17"/>
    <mergeCell ref="B5:E5"/>
  </mergeCells>
  <phoneticPr fontId="0" type="noConversion"/>
  <pageMargins left="0.25" right="0.25" top="0.5" bottom="0.5" header="0.25" footer="0.25"/>
  <pageSetup paperSize="5" scale="69" orientation="portrait" r:id="rId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32"/>
  <sheetViews>
    <sheetView topLeftCell="A34" zoomScaleNormal="100" workbookViewId="0">
      <selection activeCell="B3" sqref="B3:O3"/>
    </sheetView>
  </sheetViews>
  <sheetFormatPr defaultRowHeight="13.2"/>
  <cols>
    <col min="1" max="1" width="5.6640625" customWidth="1"/>
    <col min="2" max="4" width="4.88671875" customWidth="1"/>
    <col min="5" max="5" width="36.109375" customWidth="1"/>
    <col min="6" max="11" width="15.6640625" customWidth="1"/>
    <col min="12" max="12" width="11.88671875" bestFit="1" customWidth="1"/>
  </cols>
  <sheetData>
    <row r="1" spans="1:14">
      <c r="A1" s="853"/>
      <c r="B1" s="853"/>
      <c r="C1" s="853"/>
      <c r="D1" s="853"/>
      <c r="E1" s="853"/>
      <c r="F1" s="853"/>
      <c r="G1" s="853"/>
      <c r="H1" s="853"/>
      <c r="I1" s="853"/>
      <c r="J1" s="853"/>
      <c r="K1" s="853"/>
    </row>
    <row r="2" spans="1:14" ht="20.399999999999999">
      <c r="A2" s="853"/>
      <c r="B2" s="1596" t="s">
        <v>296</v>
      </c>
      <c r="C2" s="1596"/>
      <c r="D2" s="1596"/>
      <c r="E2" s="1596"/>
      <c r="F2" s="1596"/>
      <c r="G2" s="1596"/>
      <c r="H2" s="1596"/>
      <c r="I2" s="1596"/>
      <c r="J2" s="1596"/>
      <c r="K2" s="1596"/>
    </row>
    <row r="3" spans="1:14" ht="21" thickBot="1">
      <c r="A3" s="853"/>
      <c r="B3" s="1596" t="s">
        <v>789</v>
      </c>
      <c r="C3" s="1596"/>
      <c r="D3" s="1596"/>
      <c r="E3" s="1596"/>
      <c r="F3" s="1596"/>
      <c r="G3" s="1596"/>
      <c r="H3" s="1596"/>
      <c r="I3" s="1596"/>
      <c r="J3" s="1596"/>
      <c r="K3" s="1596"/>
    </row>
    <row r="4" spans="1:14" ht="13.8" thickTop="1">
      <c r="A4" s="853"/>
      <c r="B4" s="886"/>
      <c r="C4" s="886"/>
      <c r="D4" s="886"/>
      <c r="E4" s="886"/>
      <c r="F4" s="887"/>
      <c r="G4" s="887">
        <f>'KEY INPUTS'!D34</f>
        <v>2019</v>
      </c>
      <c r="H4" s="887"/>
      <c r="I4" s="888"/>
      <c r="J4" s="886"/>
      <c r="K4" s="863"/>
    </row>
    <row r="5" spans="1:14">
      <c r="A5" s="853"/>
      <c r="B5" s="1597" t="s">
        <v>804</v>
      </c>
      <c r="C5" s="1597"/>
      <c r="D5" s="1597"/>
      <c r="E5" s="1598"/>
      <c r="F5" s="889" t="s">
        <v>671</v>
      </c>
      <c r="G5" s="889" t="s">
        <v>676</v>
      </c>
      <c r="H5" s="889" t="s">
        <v>803</v>
      </c>
      <c r="I5" s="890" t="s">
        <v>280</v>
      </c>
      <c r="J5" s="891" t="s">
        <v>566</v>
      </c>
      <c r="K5" s="864" t="s">
        <v>671</v>
      </c>
    </row>
    <row r="6" spans="1:14">
      <c r="A6" s="853"/>
      <c r="B6" s="853"/>
      <c r="C6" s="853"/>
      <c r="D6" s="853"/>
      <c r="E6" s="853"/>
      <c r="F6" s="892" t="str">
        <f>'10-Grants Receivable'!F6</f>
        <v>Jan. 1, 2019</v>
      </c>
      <c r="G6" s="889" t="s">
        <v>801</v>
      </c>
      <c r="H6" s="889"/>
      <c r="I6" s="893"/>
      <c r="J6" s="894"/>
      <c r="K6" s="865" t="str">
        <f>'10-Grants Receivable'!K6</f>
        <v>Dec. 31, 2019</v>
      </c>
    </row>
    <row r="7" spans="1:14" ht="13.8" thickBot="1">
      <c r="A7" s="853"/>
      <c r="B7" s="895"/>
      <c r="C7" s="895"/>
      <c r="D7" s="895"/>
      <c r="E7" s="895"/>
      <c r="F7" s="896"/>
      <c r="G7" s="897" t="s">
        <v>802</v>
      </c>
      <c r="H7" s="896"/>
      <c r="I7" s="896"/>
      <c r="J7" s="898"/>
      <c r="K7" s="866"/>
    </row>
    <row r="8" spans="1:14" ht="21" customHeight="1" thickTop="1">
      <c r="A8" s="853"/>
      <c r="B8" s="883" t="s">
        <v>3546</v>
      </c>
      <c r="C8" s="883"/>
      <c r="D8" s="883"/>
      <c r="E8" s="899"/>
      <c r="F8" s="900">
        <f>+'10-Grants Receivable'!F27</f>
        <v>187000</v>
      </c>
      <c r="G8" s="900">
        <f>+'10-Grants Receivable'!G27</f>
        <v>246341.39</v>
      </c>
      <c r="H8" s="900">
        <f>+'10-Grants Receivable'!H27</f>
        <v>338323.35000000003</v>
      </c>
      <c r="I8" s="900">
        <f>+'10-Grants Receivable'!I27</f>
        <v>3229.96</v>
      </c>
      <c r="J8" s="900">
        <f>+'10-Grants Receivable'!J27</f>
        <v>0</v>
      </c>
      <c r="K8" s="901">
        <f>+'10-Grants Receivable'!K27</f>
        <v>98248</v>
      </c>
    </row>
    <row r="9" spans="1:14" ht="21" customHeight="1">
      <c r="B9" s="566"/>
      <c r="C9" s="566"/>
      <c r="D9" s="566"/>
      <c r="E9" s="572"/>
      <c r="F9" s="374"/>
      <c r="G9" s="374"/>
      <c r="H9" s="374"/>
      <c r="I9" s="374"/>
      <c r="J9" s="374"/>
      <c r="K9" s="902">
        <f>+F9+G9-H9+I9-J9</f>
        <v>0</v>
      </c>
      <c r="L9" s="228"/>
    </row>
    <row r="10" spans="1:14" ht="21" customHeight="1">
      <c r="B10" s="566"/>
      <c r="C10" s="566"/>
      <c r="D10" s="566"/>
      <c r="E10" s="572"/>
      <c r="F10" s="374"/>
      <c r="G10" s="374"/>
      <c r="H10" s="374"/>
      <c r="I10" s="374"/>
      <c r="J10" s="374"/>
      <c r="K10" s="902">
        <f t="shared" ref="K10:K26" si="0">+F10+G10-H10+I10-J10</f>
        <v>0</v>
      </c>
      <c r="N10" s="377"/>
    </row>
    <row r="11" spans="1:14" ht="21" customHeight="1">
      <c r="B11" s="566"/>
      <c r="C11" s="566"/>
      <c r="D11" s="566"/>
      <c r="E11" s="572"/>
      <c r="F11" s="374"/>
      <c r="G11" s="374"/>
      <c r="H11" s="374"/>
      <c r="I11" s="374"/>
      <c r="J11" s="374"/>
      <c r="K11" s="844">
        <f t="shared" si="0"/>
        <v>0</v>
      </c>
      <c r="L11" s="228"/>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3547</v>
      </c>
      <c r="B15" s="566"/>
      <c r="C15" s="567"/>
      <c r="D15" s="566"/>
      <c r="E15" s="572"/>
      <c r="F15" s="374"/>
      <c r="G15" s="374"/>
      <c r="H15" s="374"/>
      <c r="I15" s="374"/>
      <c r="J15" s="374"/>
      <c r="K15" s="903">
        <f t="shared" si="0"/>
        <v>0</v>
      </c>
    </row>
    <row r="16" spans="1:14" ht="21" customHeight="1">
      <c r="A16" s="1577"/>
      <c r="B16" s="566"/>
      <c r="C16" s="567"/>
      <c r="D16" s="566"/>
      <c r="E16" s="572"/>
      <c r="F16" s="374"/>
      <c r="G16" s="374"/>
      <c r="H16" s="374"/>
      <c r="I16" s="374"/>
      <c r="J16" s="374"/>
      <c r="K16" s="904">
        <f t="shared" si="0"/>
        <v>0</v>
      </c>
    </row>
    <row r="17" spans="1:12" ht="21" customHeight="1">
      <c r="A17" s="1577"/>
      <c r="B17" s="566"/>
      <c r="C17" s="567"/>
      <c r="D17" s="566"/>
      <c r="E17" s="572"/>
      <c r="F17" s="374"/>
      <c r="G17" s="374"/>
      <c r="H17" s="374"/>
      <c r="I17" s="374"/>
      <c r="J17" s="374"/>
      <c r="K17" s="902">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903">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90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903">
        <f t="shared" si="0"/>
        <v>0</v>
      </c>
    </row>
    <row r="25" spans="1:12" ht="21" customHeight="1">
      <c r="B25" s="566"/>
      <c r="C25" s="566"/>
      <c r="D25" s="566"/>
      <c r="E25" s="572"/>
      <c r="F25" s="374"/>
      <c r="G25" s="374"/>
      <c r="H25" s="374"/>
      <c r="I25" s="374"/>
      <c r="J25" s="374"/>
      <c r="K25" s="90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J27" si="1">SUM(F8:F26)</f>
        <v>187000</v>
      </c>
      <c r="G27" s="99">
        <f t="shared" si="1"/>
        <v>246341.39</v>
      </c>
      <c r="H27" s="99">
        <f t="shared" si="1"/>
        <v>338323.35000000003</v>
      </c>
      <c r="I27" s="99">
        <f t="shared" si="1"/>
        <v>3229.96</v>
      </c>
      <c r="J27" s="99">
        <f t="shared" si="1"/>
        <v>0</v>
      </c>
      <c r="K27" s="905">
        <f>SUM(K8:K26)</f>
        <v>98248</v>
      </c>
    </row>
    <row r="28" spans="1:12" ht="13.8" thickTop="1"/>
    <row r="29" spans="1:12">
      <c r="K29" s="228"/>
    </row>
    <row r="30" spans="1:12">
      <c r="F30" s="228"/>
      <c r="G30" s="228"/>
      <c r="K30" s="228"/>
      <c r="L30" s="228"/>
    </row>
    <row r="31" spans="1:12">
      <c r="K31" s="228"/>
    </row>
    <row r="32" spans="1:12">
      <c r="G32" s="228"/>
    </row>
  </sheetData>
  <sheetProtection algorithmName="SHA-512" hashValue="Ug52KeMSJBY4Pta9zljMEn0NwY6JbLXuQlON0SzqZYIytT9XyXO/lCmDqwohJ6M/NAFMmgqTpelcJpOtduJl1w==" saltValue="xtyZtSL7pCWOWKjMir3hEA=="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4">
    <mergeCell ref="B2:K2"/>
    <mergeCell ref="B3:K3"/>
    <mergeCell ref="A15:A17"/>
    <mergeCell ref="B5:E5"/>
  </mergeCells>
  <phoneticPr fontId="0" type="noConversion"/>
  <pageMargins left="0.25" right="0.25" top="0.5" bottom="0.5" header="0.25" footer="0.25"/>
  <pageSetup paperSize="5" scale="69" orientation="portrait"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1" spans="1:14">
      <c r="B1" s="853"/>
      <c r="C1" s="853"/>
      <c r="D1" s="853"/>
      <c r="E1" s="853"/>
      <c r="F1" s="853"/>
      <c r="G1" s="853"/>
      <c r="H1" s="853"/>
      <c r="I1" s="853"/>
      <c r="J1" s="853"/>
      <c r="K1" s="853"/>
    </row>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+'10.1-Grants Receivable'!F27</f>
        <v>187000</v>
      </c>
      <c r="G8" s="900">
        <f>+'10.1-Grants Receivable'!G27</f>
        <v>246341.39</v>
      </c>
      <c r="H8" s="900">
        <f>+'10.1-Grants Receivable'!H27</f>
        <v>338323.35000000003</v>
      </c>
      <c r="I8" s="900">
        <f>+'10.1-Grants Receivable'!I27</f>
        <v>3229.96</v>
      </c>
      <c r="J8" s="900">
        <f>+'10.1-Grants Receivable'!J27</f>
        <v>0</v>
      </c>
      <c r="K8" s="901">
        <f>+'10.1-Grants Receivable'!K27</f>
        <v>98248</v>
      </c>
    </row>
    <row r="9" spans="1:14" ht="21" customHeight="1">
      <c r="B9" s="566"/>
      <c r="C9" s="566"/>
      <c r="D9" s="566"/>
      <c r="E9" s="572"/>
      <c r="F9" s="374"/>
      <c r="G9" s="374"/>
      <c r="H9" s="374"/>
      <c r="I9" s="374"/>
      <c r="J9" s="374"/>
      <c r="K9" s="844">
        <f>+F9+G9-H9+I9-J9</f>
        <v>0</v>
      </c>
      <c r="L9" s="325"/>
    </row>
    <row r="10" spans="1:14" ht="21" customHeight="1">
      <c r="B10" s="566"/>
      <c r="C10" s="566"/>
      <c r="D10" s="566"/>
      <c r="E10" s="572"/>
      <c r="F10" s="374"/>
      <c r="G10" s="374"/>
      <c r="H10" s="374"/>
      <c r="I10" s="374"/>
      <c r="J10" s="374"/>
      <c r="K10" s="844">
        <f t="shared" ref="K10:K26" si="0">+F10+G10-H10+I10-J10</f>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3548</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algorithmName="SHA-512" hashValue="IOi6Nwzn0z9hs3eI9WWfS+U3x6cxIvqyL3CbGbhBa+k+L55ENtEiyEvvOPJG5SjEa2Jxv0m40PI6Rp51FCJu/Q==" saltValue="b3z5dp/HY6xVNeGem1r6Lg==" spinCount="100000"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1" spans="1:14">
      <c r="B1" s="853"/>
      <c r="C1" s="853"/>
      <c r="D1" s="853"/>
      <c r="E1" s="853"/>
      <c r="F1" s="853"/>
      <c r="G1" s="853"/>
      <c r="H1" s="853"/>
      <c r="I1" s="853"/>
      <c r="J1" s="853"/>
      <c r="K1" s="853"/>
    </row>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+'10.2-Grants Receivable'!F27</f>
        <v>187000</v>
      </c>
      <c r="G8" s="900">
        <f>+'10.2-Grants Receivable'!G27</f>
        <v>246341.39</v>
      </c>
      <c r="H8" s="900">
        <f>+'10.2-Grants Receivable'!H27</f>
        <v>338323.35000000003</v>
      </c>
      <c r="I8" s="900">
        <f>+'10.2-Grants Receivable'!I27</f>
        <v>3229.96</v>
      </c>
      <c r="J8" s="900">
        <f>+'10.2-Grants Receivable'!J27</f>
        <v>0</v>
      </c>
      <c r="K8" s="901">
        <f>+'10.2-Grants Receivable'!K27</f>
        <v>98248</v>
      </c>
    </row>
    <row r="9" spans="1:14" ht="21" customHeight="1">
      <c r="B9" s="566"/>
      <c r="C9" s="566"/>
      <c r="D9" s="566"/>
      <c r="E9" s="572"/>
      <c r="F9" s="374"/>
      <c r="G9" s="374"/>
      <c r="H9" s="374"/>
      <c r="I9" s="374"/>
      <c r="J9" s="374"/>
      <c r="K9" s="844">
        <f>+F9+G9-H9+I9-J9</f>
        <v>0</v>
      </c>
      <c r="L9" s="325"/>
    </row>
    <row r="10" spans="1:14" ht="21" customHeight="1">
      <c r="B10" s="566"/>
      <c r="C10" s="566"/>
      <c r="D10" s="566"/>
      <c r="E10" s="572"/>
      <c r="F10" s="374"/>
      <c r="G10" s="374"/>
      <c r="H10" s="374"/>
      <c r="I10" s="374"/>
      <c r="J10" s="374"/>
      <c r="K10" s="844">
        <f t="shared" ref="K10:K26" si="0">+F10+G10-H10+I10-J10</f>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3549</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1" spans="1:14">
      <c r="B1" s="853"/>
      <c r="C1" s="853"/>
      <c r="D1" s="853"/>
      <c r="E1" s="853"/>
      <c r="F1" s="853"/>
      <c r="G1" s="853"/>
      <c r="H1" s="853"/>
      <c r="I1" s="853"/>
      <c r="J1" s="853"/>
      <c r="K1" s="853"/>
    </row>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+'10.3-Grants Receivable'!F27</f>
        <v>187000</v>
      </c>
      <c r="G8" s="900">
        <f>+'10.3-Grants Receivable'!G27</f>
        <v>246341.39</v>
      </c>
      <c r="H8" s="900">
        <f>+'10.3-Grants Receivable'!H27</f>
        <v>338323.35000000003</v>
      </c>
      <c r="I8" s="900">
        <f>+'10.3-Grants Receivable'!I27</f>
        <v>3229.96</v>
      </c>
      <c r="J8" s="900">
        <f>+'10.3-Grants Receivable'!J27</f>
        <v>0</v>
      </c>
      <c r="K8" s="901">
        <f>+'10.3-Grants Receivable'!K27</f>
        <v>98248</v>
      </c>
    </row>
    <row r="9" spans="1:14" ht="21" customHeight="1">
      <c r="B9" s="566"/>
      <c r="C9" s="566"/>
      <c r="D9" s="566"/>
      <c r="E9" s="572"/>
      <c r="F9" s="374"/>
      <c r="G9" s="374"/>
      <c r="H9" s="374"/>
      <c r="I9" s="374"/>
      <c r="J9" s="374"/>
      <c r="K9" s="844">
        <f>+F9+G9-H9+I9-J9</f>
        <v>0</v>
      </c>
      <c r="L9" s="325"/>
    </row>
    <row r="10" spans="1:14" ht="21" customHeight="1">
      <c r="B10" s="566"/>
      <c r="C10" s="566"/>
      <c r="D10" s="566"/>
      <c r="E10" s="572"/>
      <c r="F10" s="374"/>
      <c r="G10" s="374"/>
      <c r="H10" s="374"/>
      <c r="I10" s="374"/>
      <c r="J10" s="374"/>
      <c r="K10" s="844">
        <f t="shared" ref="K10:K26" si="0">+F10+G10-H10+I10-J10</f>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3550</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C000"/>
  </sheetPr>
  <dimension ref="B1:D23"/>
  <sheetViews>
    <sheetView zoomScale="130" zoomScaleNormal="130" workbookViewId="0">
      <selection activeCell="B1" sqref="B1:D1"/>
    </sheetView>
  </sheetViews>
  <sheetFormatPr defaultRowHeight="13.2"/>
  <cols>
    <col min="2" max="2" width="43.44140625" customWidth="1"/>
    <col min="3" max="3" width="13" bestFit="1" customWidth="1"/>
  </cols>
  <sheetData>
    <row r="1" spans="2:4" s="322" customFormat="1" ht="17.399999999999999">
      <c r="B1" s="1512" t="s">
        <v>3468</v>
      </c>
      <c r="C1" s="1512"/>
      <c r="D1" s="1512"/>
    </row>
    <row r="4" spans="2:4">
      <c r="B4" s="324" t="s">
        <v>3455</v>
      </c>
      <c r="C4" s="325">
        <f>'21-Current Fund Surplus'!L7</f>
        <v>4165908.96</v>
      </c>
    </row>
    <row r="5" spans="2:4">
      <c r="B5" s="324" t="s">
        <v>3456</v>
      </c>
      <c r="C5" s="325">
        <f>'21-Current Fund Surplus'!K14</f>
        <v>4356673.4300000044</v>
      </c>
    </row>
    <row r="6" spans="2:4" s="322" customFormat="1">
      <c r="B6" s="324" t="s">
        <v>3459</v>
      </c>
      <c r="C6" s="325">
        <f>'19-Results of Op-Cur Fnd'!I45</f>
        <v>1218826.2400000046</v>
      </c>
    </row>
    <row r="8" spans="2:4">
      <c r="B8" s="324" t="s">
        <v>3457</v>
      </c>
      <c r="C8" s="325">
        <f>'21-Current Fund Surplus'!L23</f>
        <v>6373434.9899999984</v>
      </c>
    </row>
    <row r="9" spans="2:4" s="322" customFormat="1">
      <c r="B9" s="324" t="s">
        <v>3458</v>
      </c>
      <c r="C9" s="325">
        <f>'21-Current Fund Surplus'!L24</f>
        <v>0</v>
      </c>
    </row>
    <row r="10" spans="2:4">
      <c r="B10" s="324" t="s">
        <v>3466</v>
      </c>
      <c r="C10" s="325">
        <f>'21-Current Fund Surplus'!L27</f>
        <v>2020903.3499999989</v>
      </c>
    </row>
    <row r="12" spans="2:4">
      <c r="B12" s="324" t="s">
        <v>212</v>
      </c>
      <c r="C12" s="325">
        <f>'17-Budget Revenues'!I6</f>
        <v>1025000</v>
      </c>
    </row>
    <row r="13" spans="2:4">
      <c r="B13" s="324" t="s">
        <v>341</v>
      </c>
      <c r="C13" s="325">
        <f>'17-Budget Revenues'!H21</f>
        <v>10915653.609999999</v>
      </c>
    </row>
    <row r="14" spans="2:4">
      <c r="B14" s="324" t="s">
        <v>1007</v>
      </c>
      <c r="C14" s="325">
        <f>'17-Budget Revenues'!H14</f>
        <v>3285433.39</v>
      </c>
    </row>
    <row r="15" spans="2:4">
      <c r="B15" s="324" t="s">
        <v>1013</v>
      </c>
      <c r="C15" s="325">
        <f>'17-Budget Revenues'!H15</f>
        <v>140000</v>
      </c>
    </row>
    <row r="16" spans="2:4">
      <c r="B16" s="324" t="s">
        <v>3467</v>
      </c>
      <c r="C16" s="325">
        <f>'17-Budget Revenues'!I22</f>
        <v>16074251.270000005</v>
      </c>
    </row>
    <row r="18" spans="2:3">
      <c r="B18" s="324" t="s">
        <v>3460</v>
      </c>
      <c r="C18" s="325">
        <f>'18-Budget Appropriations'!J17</f>
        <v>15359321.57</v>
      </c>
    </row>
    <row r="20" spans="2:3">
      <c r="B20" s="324" t="s">
        <v>3461</v>
      </c>
      <c r="C20" s="325">
        <f>'31-Capital Bond Schedule'!G12+'31-Capital Bond Schedule'!G23+'32-Bond Schedule'!G11+'32-Bond Schedule'!G22</f>
        <v>14310000</v>
      </c>
    </row>
    <row r="21" spans="2:3" s="322" customFormat="1">
      <c r="B21" s="324" t="s">
        <v>3464</v>
      </c>
      <c r="C21" s="325">
        <f>'31A-Loan Schedule'!G12+'31A-Loan Schedule'!G23</f>
        <v>401688.07</v>
      </c>
    </row>
    <row r="22" spans="2:3">
      <c r="B22" s="324" t="s">
        <v>3462</v>
      </c>
      <c r="C22" s="325">
        <f>'33-Note Debt Service'!G23+'34-Assmt Note Debt Service'!G23</f>
        <v>5151000</v>
      </c>
    </row>
    <row r="23" spans="2:3">
      <c r="B23" s="324" t="s">
        <v>3463</v>
      </c>
      <c r="C23" s="325">
        <f>'34a-Cap Lease Program Oblg'!G23</f>
        <v>0</v>
      </c>
    </row>
  </sheetData>
  <sheetProtection password="CAF9" sheet="1" objects="1" scenarios="1"/>
  <customSheetViews>
    <customSheetView guid="{AC653BD0-46E3-42CB-9C76-32121A57B65A}" scale="130" state="hidden">
      <selection activeCell="B1" sqref="B1:D1"/>
      <pageMargins left="0.7" right="0.7" top="0.75" bottom="0.75" header="0.3" footer="0.3"/>
      <pageSetup paperSize="5" orientation="portrait" r:id="rId1"/>
    </customSheetView>
    <customSheetView guid="{B165479B-DC25-403C-9595-F1A88A4AA9A2}" scale="130" state="hidden">
      <selection activeCell="B1" sqref="B1:D1"/>
      <pageMargins left="0.7" right="0.7" top="0.75" bottom="0.75" header="0.3" footer="0.3"/>
      <pageSetup paperSize="5" orientation="portrait" r:id="rId2"/>
    </customSheetView>
    <customSheetView guid="{A64E4C9E-A3DA-4AAA-8607-F524450B9436}" scale="130" state="hidden">
      <selection activeCell="B1" sqref="B1:D1"/>
      <pageMargins left="0.7" right="0.7" top="0.75" bottom="0.75" header="0.3" footer="0.3"/>
      <pageSetup paperSize="5" orientation="portrait" r:id="rId3"/>
    </customSheetView>
    <customSheetView guid="{AB4FBD91-4533-473A-9702-569FF6402073}" scale="130" state="hidden">
      <selection activeCell="B1" sqref="B1:D1"/>
      <pageMargins left="0.7" right="0.7" top="0.75" bottom="0.75" header="0.3" footer="0.3"/>
      <pageSetup paperSize="5" orientation="portrait" r:id="rId4"/>
    </customSheetView>
  </customSheetViews>
  <mergeCells count="1">
    <mergeCell ref="B1:D1"/>
  </mergeCells>
  <pageMargins left="0.7" right="0.7" top="0.75" bottom="0.75" header="0.3" footer="0.3"/>
  <pageSetup paperSize="5"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1" spans="1:14">
      <c r="A1" s="853"/>
      <c r="B1" s="853"/>
      <c r="C1" s="853"/>
      <c r="D1" s="853"/>
      <c r="E1" s="853"/>
      <c r="F1" s="853"/>
      <c r="G1" s="853"/>
      <c r="H1" s="853"/>
      <c r="I1" s="853"/>
      <c r="J1" s="853"/>
      <c r="K1" s="853"/>
    </row>
    <row r="2" spans="1:14" ht="20.399999999999999">
      <c r="A2" s="853"/>
      <c r="B2" s="1596" t="s">
        <v>296</v>
      </c>
      <c r="C2" s="1596"/>
      <c r="D2" s="1596"/>
      <c r="E2" s="1596"/>
      <c r="F2" s="1596"/>
      <c r="G2" s="1596"/>
      <c r="H2" s="1596"/>
      <c r="I2" s="1596"/>
      <c r="J2" s="1596"/>
      <c r="K2" s="1596"/>
    </row>
    <row r="3" spans="1:14" ht="21" thickBot="1">
      <c r="A3" s="853"/>
      <c r="B3" s="1596" t="s">
        <v>789</v>
      </c>
      <c r="C3" s="1596"/>
      <c r="D3" s="1596"/>
      <c r="E3" s="1596"/>
      <c r="F3" s="1596"/>
      <c r="G3" s="1596"/>
      <c r="H3" s="1596"/>
      <c r="I3" s="1596"/>
      <c r="J3" s="1596"/>
      <c r="K3" s="1596"/>
    </row>
    <row r="4" spans="1:14" ht="13.8" thickTop="1">
      <c r="A4" s="853"/>
      <c r="B4" s="886"/>
      <c r="C4" s="886"/>
      <c r="D4" s="886"/>
      <c r="E4" s="886"/>
      <c r="F4" s="887"/>
      <c r="G4" s="887">
        <f>'KEY INPUTS'!D34</f>
        <v>2019</v>
      </c>
      <c r="H4" s="887"/>
      <c r="I4" s="888"/>
      <c r="J4" s="886"/>
      <c r="K4" s="863"/>
    </row>
    <row r="5" spans="1:14">
      <c r="A5" s="853"/>
      <c r="B5" s="1597" t="s">
        <v>804</v>
      </c>
      <c r="C5" s="1597"/>
      <c r="D5" s="1597"/>
      <c r="E5" s="1598"/>
      <c r="F5" s="889" t="s">
        <v>671</v>
      </c>
      <c r="G5" s="889" t="s">
        <v>676</v>
      </c>
      <c r="H5" s="889" t="s">
        <v>803</v>
      </c>
      <c r="I5" s="890" t="s">
        <v>280</v>
      </c>
      <c r="J5" s="891" t="s">
        <v>566</v>
      </c>
      <c r="K5" s="864" t="s">
        <v>671</v>
      </c>
    </row>
    <row r="6" spans="1:14">
      <c r="A6" s="853"/>
      <c r="B6" s="853"/>
      <c r="C6" s="853"/>
      <c r="D6" s="853"/>
      <c r="E6" s="853"/>
      <c r="F6" s="892" t="str">
        <f>'10-Grants Receivable'!F6</f>
        <v>Jan. 1, 2019</v>
      </c>
      <c r="G6" s="889" t="s">
        <v>801</v>
      </c>
      <c r="H6" s="889"/>
      <c r="I6" s="893"/>
      <c r="J6" s="894"/>
      <c r="K6" s="865" t="str">
        <f>'10-Grants Receivable'!K6</f>
        <v>Dec. 31, 2019</v>
      </c>
    </row>
    <row r="7" spans="1:14" ht="13.8" thickBot="1">
      <c r="A7" s="853"/>
      <c r="B7" s="895"/>
      <c r="C7" s="895"/>
      <c r="D7" s="895"/>
      <c r="E7" s="895"/>
      <c r="F7" s="896"/>
      <c r="G7" s="897" t="s">
        <v>802</v>
      </c>
      <c r="H7" s="896"/>
      <c r="I7" s="896"/>
      <c r="J7" s="898"/>
      <c r="K7" s="866"/>
    </row>
    <row r="8" spans="1:14" ht="21" customHeight="1" thickTop="1">
      <c r="A8" s="853"/>
      <c r="B8" s="883" t="s">
        <v>3546</v>
      </c>
      <c r="C8" s="883"/>
      <c r="D8" s="883"/>
      <c r="E8" s="899"/>
      <c r="F8" s="900">
        <f>+'10.4-Grants Receivable'!F27</f>
        <v>187000</v>
      </c>
      <c r="G8" s="900">
        <f>+'10.4-Grants Receivable'!G27</f>
        <v>246341.39</v>
      </c>
      <c r="H8" s="900">
        <f>+'10.4-Grants Receivable'!H27</f>
        <v>338323.35000000003</v>
      </c>
      <c r="I8" s="900">
        <f>+'10.4-Grants Receivable'!I27</f>
        <v>3229.96</v>
      </c>
      <c r="J8" s="900">
        <f>+'10.4-Grants Receivable'!J27</f>
        <v>0</v>
      </c>
      <c r="K8" s="901">
        <f>+'10.4-Grants Receivable'!K27</f>
        <v>98248</v>
      </c>
    </row>
    <row r="9" spans="1:14" ht="21" customHeight="1">
      <c r="B9" s="566"/>
      <c r="C9" s="566"/>
      <c r="D9" s="566"/>
      <c r="E9" s="572"/>
      <c r="F9" s="374"/>
      <c r="G9" s="374"/>
      <c r="H9" s="374"/>
      <c r="I9" s="374"/>
      <c r="J9" s="374"/>
      <c r="K9" s="844">
        <f>+F9+G9-H9+I9-J9</f>
        <v>0</v>
      </c>
      <c r="L9" s="325"/>
    </row>
    <row r="10" spans="1:14" ht="21" customHeight="1">
      <c r="B10" s="566"/>
      <c r="C10" s="566"/>
      <c r="D10" s="566"/>
      <c r="E10" s="572"/>
      <c r="F10" s="374"/>
      <c r="G10" s="374"/>
      <c r="H10" s="374"/>
      <c r="I10" s="374"/>
      <c r="J10" s="374"/>
      <c r="K10" s="844">
        <f t="shared" ref="K10:K26" si="0">+F10+G10-H10+I10-J10</f>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3551</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11"/>
      <c r="C4" s="11"/>
      <c r="D4" s="11"/>
      <c r="E4" s="11"/>
      <c r="F4" s="12"/>
      <c r="G4" s="12">
        <f>'KEY INPUTS'!D34</f>
        <v>2019</v>
      </c>
      <c r="H4" s="12"/>
      <c r="I4" s="6"/>
      <c r="J4" s="11"/>
      <c r="K4" s="18"/>
    </row>
    <row r="5" spans="1:14">
      <c r="B5" s="1546" t="s">
        <v>804</v>
      </c>
      <c r="C5" s="1546"/>
      <c r="D5" s="1546"/>
      <c r="E5" s="1595"/>
      <c r="F5" s="282" t="s">
        <v>671</v>
      </c>
      <c r="G5" s="282" t="s">
        <v>676</v>
      </c>
      <c r="H5" s="282" t="s">
        <v>803</v>
      </c>
      <c r="I5" s="788" t="s">
        <v>280</v>
      </c>
      <c r="J5" s="255" t="s">
        <v>566</v>
      </c>
      <c r="K5" s="21" t="s">
        <v>671</v>
      </c>
    </row>
    <row r="6" spans="1:14">
      <c r="F6" s="299" t="str">
        <f>'10-Grants Receivable'!F6</f>
        <v>Jan. 1, 2019</v>
      </c>
      <c r="G6" s="282" t="s">
        <v>801</v>
      </c>
      <c r="H6" s="282"/>
      <c r="I6" s="15"/>
      <c r="J6" s="758"/>
      <c r="K6" s="298" t="str">
        <f>'10-Grants Receivable'!K6</f>
        <v>Dec. 31, 2019</v>
      </c>
    </row>
    <row r="7" spans="1:14" ht="13.8" thickBot="1">
      <c r="B7" s="10"/>
      <c r="C7" s="10"/>
      <c r="D7" s="10"/>
      <c r="E7" s="10"/>
      <c r="F7" s="14"/>
      <c r="G7" s="16" t="s">
        <v>802</v>
      </c>
      <c r="H7" s="14"/>
      <c r="I7" s="14"/>
      <c r="J7" s="17"/>
      <c r="K7" s="19"/>
    </row>
    <row r="8" spans="1:14" ht="21" customHeight="1" thickTop="1">
      <c r="B8" s="790" t="s">
        <v>3546</v>
      </c>
      <c r="C8" s="790"/>
      <c r="D8" s="790"/>
      <c r="E8" s="791"/>
      <c r="F8" s="773">
        <f>+'10.5-Grants Receivable'!F27</f>
        <v>187000</v>
      </c>
      <c r="G8" s="773">
        <f>+'10.5-Grants Receivable'!G27</f>
        <v>246341.39</v>
      </c>
      <c r="H8" s="773">
        <f>+'10.5-Grants Receivable'!H27</f>
        <v>338323.35000000003</v>
      </c>
      <c r="I8" s="773">
        <f>+'10.5-Grants Receivable'!I27</f>
        <v>3229.96</v>
      </c>
      <c r="J8" s="773">
        <f>+'10.5-Grants Receivable'!J27</f>
        <v>0</v>
      </c>
      <c r="K8" s="901">
        <f>+'10.5-Grants Receivable'!K27</f>
        <v>98248</v>
      </c>
    </row>
    <row r="9" spans="1:14" ht="21" customHeight="1">
      <c r="B9" s="566"/>
      <c r="C9" s="566"/>
      <c r="D9" s="566"/>
      <c r="E9" s="572"/>
      <c r="F9" s="374"/>
      <c r="G9" s="374"/>
      <c r="H9" s="374"/>
      <c r="I9" s="374"/>
      <c r="J9" s="374"/>
      <c r="K9" s="574">
        <f>+F9+G9-H9+I9-J9</f>
        <v>0</v>
      </c>
      <c r="L9" s="325"/>
    </row>
    <row r="10" spans="1:14" ht="21" customHeight="1">
      <c r="B10" s="566"/>
      <c r="C10" s="566"/>
      <c r="D10" s="566"/>
      <c r="E10" s="572"/>
      <c r="F10" s="374"/>
      <c r="G10" s="374"/>
      <c r="H10" s="374"/>
      <c r="I10" s="374"/>
      <c r="J10" s="374"/>
      <c r="K10" s="574">
        <f t="shared" ref="K10:K26" si="0">+F10+G10-H10+I10-J10</f>
        <v>0</v>
      </c>
      <c r="N10" s="377"/>
    </row>
    <row r="11" spans="1:14" ht="21" customHeight="1">
      <c r="B11" s="566"/>
      <c r="C11" s="566"/>
      <c r="D11" s="566"/>
      <c r="E11" s="572"/>
      <c r="F11" s="374"/>
      <c r="G11" s="374"/>
      <c r="H11" s="374"/>
      <c r="I11" s="374"/>
      <c r="J11" s="374"/>
      <c r="K11" s="574">
        <f t="shared" si="0"/>
        <v>0</v>
      </c>
      <c r="L11" s="325"/>
    </row>
    <row r="12" spans="1:14" ht="21" customHeight="1">
      <c r="B12" s="566"/>
      <c r="C12" s="576"/>
      <c r="D12" s="566"/>
      <c r="E12" s="572"/>
      <c r="F12" s="374"/>
      <c r="G12" s="374"/>
      <c r="H12" s="374"/>
      <c r="I12" s="374"/>
      <c r="J12" s="374"/>
      <c r="K12" s="574">
        <f t="shared" si="0"/>
        <v>0</v>
      </c>
    </row>
    <row r="13" spans="1:14" ht="21" customHeight="1">
      <c r="B13" s="566"/>
      <c r="C13" s="576"/>
      <c r="D13" s="566"/>
      <c r="E13" s="572"/>
      <c r="F13" s="374"/>
      <c r="G13" s="374"/>
      <c r="H13" s="374"/>
      <c r="I13" s="374"/>
      <c r="J13" s="374"/>
      <c r="K13" s="574">
        <f t="shared" si="0"/>
        <v>0</v>
      </c>
    </row>
    <row r="14" spans="1:14" ht="21" customHeight="1">
      <c r="B14" s="566"/>
      <c r="C14" s="566"/>
      <c r="D14" s="566"/>
      <c r="E14" s="572"/>
      <c r="F14" s="374"/>
      <c r="G14" s="374"/>
      <c r="H14" s="374"/>
      <c r="I14" s="374"/>
      <c r="J14" s="374"/>
      <c r="K14" s="574">
        <f t="shared" si="0"/>
        <v>0</v>
      </c>
    </row>
    <row r="15" spans="1:14" ht="21" customHeight="1">
      <c r="A15" s="1577" t="s">
        <v>3552</v>
      </c>
      <c r="B15" s="566"/>
      <c r="C15" s="567"/>
      <c r="D15" s="566"/>
      <c r="E15" s="572"/>
      <c r="F15" s="374"/>
      <c r="G15" s="374"/>
      <c r="H15" s="374"/>
      <c r="I15" s="374"/>
      <c r="J15" s="374"/>
      <c r="K15" s="574">
        <f t="shared" si="0"/>
        <v>0</v>
      </c>
    </row>
    <row r="16" spans="1:14" ht="21" customHeight="1">
      <c r="A16" s="1577"/>
      <c r="B16" s="566"/>
      <c r="C16" s="567"/>
      <c r="D16" s="566"/>
      <c r="E16" s="572"/>
      <c r="F16" s="374"/>
      <c r="G16" s="374"/>
      <c r="H16" s="374"/>
      <c r="I16" s="374"/>
      <c r="J16" s="374"/>
      <c r="K16" s="574">
        <f t="shared" si="0"/>
        <v>0</v>
      </c>
    </row>
    <row r="17" spans="1:12" ht="21" customHeight="1">
      <c r="A17" s="1577"/>
      <c r="B17" s="566"/>
      <c r="C17" s="567"/>
      <c r="D17" s="566"/>
      <c r="E17" s="572"/>
      <c r="F17" s="374"/>
      <c r="G17" s="374"/>
      <c r="H17" s="374"/>
      <c r="I17" s="374"/>
      <c r="J17" s="374"/>
      <c r="K17" s="574">
        <f t="shared" si="0"/>
        <v>0</v>
      </c>
    </row>
    <row r="18" spans="1:12" ht="21" customHeight="1">
      <c r="B18" s="566"/>
      <c r="C18" s="567"/>
      <c r="D18" s="566"/>
      <c r="E18" s="572"/>
      <c r="F18" s="374"/>
      <c r="G18" s="374"/>
      <c r="H18" s="374"/>
      <c r="I18" s="374"/>
      <c r="J18" s="374"/>
      <c r="K18" s="574">
        <f t="shared" si="0"/>
        <v>0</v>
      </c>
    </row>
    <row r="19" spans="1:12" ht="21" customHeight="1">
      <c r="B19" s="566"/>
      <c r="C19" s="567"/>
      <c r="D19" s="566"/>
      <c r="E19" s="572"/>
      <c r="F19" s="374"/>
      <c r="G19" s="374"/>
      <c r="H19" s="374"/>
      <c r="I19" s="374"/>
      <c r="J19" s="374"/>
      <c r="K19" s="574">
        <f t="shared" si="0"/>
        <v>0</v>
      </c>
    </row>
    <row r="20" spans="1:12" ht="21" customHeight="1">
      <c r="B20" s="566"/>
      <c r="C20" s="566"/>
      <c r="D20" s="566"/>
      <c r="E20" s="572"/>
      <c r="F20" s="374"/>
      <c r="G20" s="374"/>
      <c r="H20" s="374"/>
      <c r="I20" s="374"/>
      <c r="J20" s="374"/>
      <c r="K20" s="574">
        <f t="shared" si="0"/>
        <v>0</v>
      </c>
    </row>
    <row r="21" spans="1:12" ht="21" customHeight="1">
      <c r="B21" s="566"/>
      <c r="C21" s="566"/>
      <c r="D21" s="566"/>
      <c r="E21" s="572"/>
      <c r="F21" s="374"/>
      <c r="G21" s="374"/>
      <c r="H21" s="374"/>
      <c r="I21" s="374"/>
      <c r="J21" s="374"/>
      <c r="K21" s="574">
        <f t="shared" si="0"/>
        <v>0</v>
      </c>
    </row>
    <row r="22" spans="1:12" ht="21" customHeight="1">
      <c r="B22" s="566"/>
      <c r="C22" s="566"/>
      <c r="D22" s="566"/>
      <c r="E22" s="572"/>
      <c r="F22" s="374"/>
      <c r="G22" s="374"/>
      <c r="H22" s="374"/>
      <c r="I22" s="374"/>
      <c r="J22" s="374"/>
      <c r="K22" s="574">
        <f t="shared" si="0"/>
        <v>0</v>
      </c>
    </row>
    <row r="23" spans="1:12" ht="21" customHeight="1">
      <c r="B23" s="566"/>
      <c r="C23" s="566"/>
      <c r="D23" s="566"/>
      <c r="E23" s="572"/>
      <c r="F23" s="374"/>
      <c r="G23" s="374"/>
      <c r="H23" s="374"/>
      <c r="I23" s="374"/>
      <c r="J23" s="374"/>
      <c r="K23" s="574">
        <f t="shared" si="0"/>
        <v>0</v>
      </c>
    </row>
    <row r="24" spans="1:12" ht="21" customHeight="1">
      <c r="B24" s="566"/>
      <c r="C24" s="566"/>
      <c r="D24" s="566"/>
      <c r="E24" s="572"/>
      <c r="F24" s="374"/>
      <c r="G24" s="374"/>
      <c r="H24" s="374"/>
      <c r="I24" s="374"/>
      <c r="J24" s="374"/>
      <c r="K24" s="574">
        <f t="shared" si="0"/>
        <v>0</v>
      </c>
    </row>
    <row r="25" spans="1:12" ht="21" customHeight="1">
      <c r="B25" s="566"/>
      <c r="C25" s="566"/>
      <c r="D25" s="566"/>
      <c r="E25" s="572"/>
      <c r="F25" s="374"/>
      <c r="G25" s="374"/>
      <c r="H25" s="374"/>
      <c r="I25" s="374"/>
      <c r="J25" s="374"/>
      <c r="K25" s="574">
        <f t="shared" si="0"/>
        <v>0</v>
      </c>
    </row>
    <row r="26" spans="1:12" ht="21" customHeight="1">
      <c r="B26" s="566"/>
      <c r="C26" s="566"/>
      <c r="D26" s="566"/>
      <c r="E26" s="572"/>
      <c r="F26" s="374"/>
      <c r="G26" s="374"/>
      <c r="H26" s="374"/>
      <c r="I26" s="374"/>
      <c r="J26" s="374"/>
      <c r="K26" s="57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136">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+'10.6-Grants Receivable'!F27</f>
        <v>187000</v>
      </c>
      <c r="G8" s="900">
        <f>+'10.6-Grants Receivable'!G27</f>
        <v>246341.39</v>
      </c>
      <c r="H8" s="900">
        <f>+'10.6-Grants Receivable'!H27</f>
        <v>338323.35000000003</v>
      </c>
      <c r="I8" s="900">
        <f>+'10.6-Grants Receivable'!I27</f>
        <v>3229.96</v>
      </c>
      <c r="J8" s="900">
        <f>+'10.6-Grants Receivable'!J27</f>
        <v>0</v>
      </c>
      <c r="K8" s="901">
        <f>+'10.6-Grants Receivable'!K27</f>
        <v>98248</v>
      </c>
    </row>
    <row r="9" spans="1:14" ht="21" customHeight="1">
      <c r="B9" s="566"/>
      <c r="C9" s="566"/>
      <c r="D9" s="566"/>
      <c r="E9" s="572"/>
      <c r="F9" s="374"/>
      <c r="G9" s="374"/>
      <c r="H9" s="374"/>
      <c r="I9" s="374"/>
      <c r="J9" s="374"/>
      <c r="K9" s="844">
        <f>+F9+G9-H9+I9-J9</f>
        <v>0</v>
      </c>
      <c r="L9" s="325"/>
    </row>
    <row r="10" spans="1:14" ht="21" customHeight="1">
      <c r="B10" s="566"/>
      <c r="C10" s="566"/>
      <c r="D10" s="566"/>
      <c r="E10" s="572"/>
      <c r="F10" s="374"/>
      <c r="G10" s="374"/>
      <c r="H10" s="374"/>
      <c r="I10" s="374"/>
      <c r="J10" s="374"/>
      <c r="K10" s="844">
        <f t="shared" ref="K10:K26" si="0">+F10+G10-H10+I10-J10</f>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3553</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+'10.7-Grants Receivable'!F27</f>
        <v>187000</v>
      </c>
      <c r="G8" s="900">
        <f>+'10.7-Grants Receivable'!G27</f>
        <v>246341.39</v>
      </c>
      <c r="H8" s="900">
        <f>+'10.7-Grants Receivable'!H27</f>
        <v>338323.35000000003</v>
      </c>
      <c r="I8" s="900">
        <f>+'10.7-Grants Receivable'!I27</f>
        <v>3229.96</v>
      </c>
      <c r="J8" s="900">
        <f>+'10.7-Grants Receivable'!J27</f>
        <v>0</v>
      </c>
      <c r="K8" s="901">
        <f>+'10.7-Grants Receivable'!K27</f>
        <v>98248</v>
      </c>
    </row>
    <row r="9" spans="1:14" ht="21" customHeight="1">
      <c r="B9" s="566"/>
      <c r="C9" s="566"/>
      <c r="D9" s="566"/>
      <c r="E9" s="572"/>
      <c r="F9" s="374"/>
      <c r="G9" s="374"/>
      <c r="H9" s="374"/>
      <c r="I9" s="374"/>
      <c r="J9" s="374"/>
      <c r="K9" s="844">
        <f>+F9+G9-H9+I9-J9</f>
        <v>0</v>
      </c>
      <c r="L9" s="325"/>
    </row>
    <row r="10" spans="1:14" ht="21" customHeight="1">
      <c r="B10" s="566"/>
      <c r="C10" s="566"/>
      <c r="D10" s="566"/>
      <c r="E10" s="572"/>
      <c r="F10" s="374"/>
      <c r="G10" s="374"/>
      <c r="H10" s="374"/>
      <c r="I10" s="374"/>
      <c r="J10" s="374"/>
      <c r="K10" s="844">
        <f t="shared" ref="K10:K26" si="0">+F10+G10-H10+I10-J10</f>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3555</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11"/>
      <c r="C4" s="11"/>
      <c r="D4" s="11"/>
      <c r="E4" s="11"/>
      <c r="F4" s="12"/>
      <c r="G4" s="12">
        <f>'KEY INPUTS'!D34</f>
        <v>2019</v>
      </c>
      <c r="H4" s="12"/>
      <c r="I4" s="6"/>
      <c r="J4" s="11"/>
      <c r="K4" s="863"/>
    </row>
    <row r="5" spans="1:14">
      <c r="B5" s="1546" t="s">
        <v>804</v>
      </c>
      <c r="C5" s="1546"/>
      <c r="D5" s="1546"/>
      <c r="E5" s="1595"/>
      <c r="F5" s="282" t="s">
        <v>671</v>
      </c>
      <c r="G5" s="282" t="s">
        <v>676</v>
      </c>
      <c r="H5" s="282" t="s">
        <v>803</v>
      </c>
      <c r="I5" s="788" t="s">
        <v>280</v>
      </c>
      <c r="J5" s="255" t="s">
        <v>566</v>
      </c>
      <c r="K5" s="864" t="s">
        <v>671</v>
      </c>
    </row>
    <row r="6" spans="1:14">
      <c r="F6" s="299" t="str">
        <f>'10-Grants Receivable'!F6</f>
        <v>Jan. 1, 2019</v>
      </c>
      <c r="G6" s="282" t="s">
        <v>801</v>
      </c>
      <c r="H6" s="282"/>
      <c r="I6" s="15"/>
      <c r="J6" s="758"/>
      <c r="K6" s="865" t="str">
        <f>'10-Grants Receivable'!K6</f>
        <v>Dec. 31, 2019</v>
      </c>
    </row>
    <row r="7" spans="1:14" ht="13.8" thickBot="1">
      <c r="B7" s="10"/>
      <c r="C7" s="10"/>
      <c r="D7" s="10"/>
      <c r="E7" s="10"/>
      <c r="F7" s="14"/>
      <c r="G7" s="16" t="s">
        <v>802</v>
      </c>
      <c r="H7" s="14"/>
      <c r="I7" s="14"/>
      <c r="J7" s="17"/>
      <c r="K7" s="866"/>
    </row>
    <row r="8" spans="1:14" ht="21" customHeight="1" thickTop="1">
      <c r="B8" s="883" t="s">
        <v>3546</v>
      </c>
      <c r="C8" s="883"/>
      <c r="D8" s="883"/>
      <c r="E8" s="899"/>
      <c r="F8" s="900">
        <f>+'10.8-Grants Receivable'!F27</f>
        <v>187000</v>
      </c>
      <c r="G8" s="900">
        <f>+'10.8-Grants Receivable'!G27</f>
        <v>246341.39</v>
      </c>
      <c r="H8" s="900">
        <f>+'10.8-Grants Receivable'!H27</f>
        <v>338323.35000000003</v>
      </c>
      <c r="I8" s="900">
        <f>+'10.8-Grants Receivable'!I27</f>
        <v>3229.96</v>
      </c>
      <c r="J8" s="900">
        <f>+'10.8-Grants Receivable'!J27</f>
        <v>0</v>
      </c>
      <c r="K8" s="901">
        <f>+'10.8-Grants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3554</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11"/>
      <c r="C4" s="11"/>
      <c r="D4" s="11"/>
      <c r="E4" s="11"/>
      <c r="F4" s="12"/>
      <c r="G4" s="12">
        <f>'KEY INPUTS'!D34</f>
        <v>2019</v>
      </c>
      <c r="H4" s="12"/>
      <c r="I4" s="6"/>
      <c r="J4" s="11"/>
      <c r="K4" s="18"/>
    </row>
    <row r="5" spans="1:14">
      <c r="B5" s="1546" t="s">
        <v>804</v>
      </c>
      <c r="C5" s="1546"/>
      <c r="D5" s="1546"/>
      <c r="E5" s="1595"/>
      <c r="F5" s="282" t="s">
        <v>671</v>
      </c>
      <c r="G5" s="282" t="s">
        <v>676</v>
      </c>
      <c r="H5" s="282" t="s">
        <v>803</v>
      </c>
      <c r="I5" s="788" t="s">
        <v>280</v>
      </c>
      <c r="J5" s="255" t="s">
        <v>566</v>
      </c>
      <c r="K5" s="21" t="s">
        <v>671</v>
      </c>
    </row>
    <row r="6" spans="1:14">
      <c r="F6" s="299" t="str">
        <f>'10-Grants Receivable'!F6</f>
        <v>Jan. 1, 2019</v>
      </c>
      <c r="G6" s="282" t="s">
        <v>801</v>
      </c>
      <c r="H6" s="282"/>
      <c r="I6" s="15"/>
      <c r="J6" s="758"/>
      <c r="K6" s="298" t="str">
        <f>'10-Grants Receivable'!K6</f>
        <v>Dec. 31, 2019</v>
      </c>
    </row>
    <row r="7" spans="1:14" ht="13.8" thickBot="1">
      <c r="B7" s="10"/>
      <c r="C7" s="10"/>
      <c r="D7" s="10"/>
      <c r="E7" s="10"/>
      <c r="F7" s="14"/>
      <c r="G7" s="16" t="s">
        <v>802</v>
      </c>
      <c r="H7" s="14"/>
      <c r="I7" s="14"/>
      <c r="J7" s="17"/>
      <c r="K7" s="19"/>
    </row>
    <row r="8" spans="1:14" ht="21" customHeight="1" thickTop="1">
      <c r="B8" s="790" t="s">
        <v>3546</v>
      </c>
      <c r="C8" s="790"/>
      <c r="D8" s="790"/>
      <c r="E8" s="791"/>
      <c r="F8" s="773">
        <f>+'10.9-Grants Receivable'!F27</f>
        <v>187000</v>
      </c>
      <c r="G8" s="773">
        <f>+'10.9-Grants Receivable'!G27</f>
        <v>246341.39</v>
      </c>
      <c r="H8" s="773">
        <f>+'10.9-Grants Receivable'!H27</f>
        <v>338323.35000000003</v>
      </c>
      <c r="I8" s="773">
        <f>+'10.9-Grants Receivable'!I27</f>
        <v>3229.96</v>
      </c>
      <c r="J8" s="773">
        <f>+'10.9-Grants Receivable'!J27</f>
        <v>0</v>
      </c>
      <c r="K8" s="789">
        <f>+'10.9-Grants Receivable'!K27</f>
        <v>98248</v>
      </c>
    </row>
    <row r="9" spans="1:14" ht="21" customHeight="1">
      <c r="B9" s="566"/>
      <c r="C9" s="566"/>
      <c r="D9" s="566"/>
      <c r="E9" s="572"/>
      <c r="F9" s="374"/>
      <c r="G9" s="374"/>
      <c r="H9" s="374"/>
      <c r="I9" s="374"/>
      <c r="J9" s="374"/>
      <c r="K9" s="574">
        <f t="shared" ref="K9:K26" si="0">+F9+G9-H9+I9-J9</f>
        <v>0</v>
      </c>
      <c r="L9" s="325"/>
    </row>
    <row r="10" spans="1:14" ht="21" customHeight="1">
      <c r="B10" s="566"/>
      <c r="C10" s="566"/>
      <c r="D10" s="566"/>
      <c r="E10" s="572"/>
      <c r="F10" s="374"/>
      <c r="G10" s="374"/>
      <c r="H10" s="374"/>
      <c r="I10" s="374"/>
      <c r="J10" s="374"/>
      <c r="K10" s="574">
        <f t="shared" si="0"/>
        <v>0</v>
      </c>
      <c r="N10" s="377"/>
    </row>
    <row r="11" spans="1:14" ht="21" customHeight="1">
      <c r="B11" s="566"/>
      <c r="C11" s="566"/>
      <c r="D11" s="566"/>
      <c r="E11" s="572"/>
      <c r="F11" s="374"/>
      <c r="G11" s="374"/>
      <c r="H11" s="374"/>
      <c r="I11" s="374"/>
      <c r="J11" s="374"/>
      <c r="K11" s="574">
        <f t="shared" si="0"/>
        <v>0</v>
      </c>
      <c r="L11" s="325"/>
    </row>
    <row r="12" spans="1:14" ht="21" customHeight="1">
      <c r="B12" s="566"/>
      <c r="C12" s="576"/>
      <c r="D12" s="566"/>
      <c r="E12" s="572"/>
      <c r="F12" s="374"/>
      <c r="G12" s="374"/>
      <c r="H12" s="374"/>
      <c r="I12" s="374"/>
      <c r="J12" s="374"/>
      <c r="K12" s="574">
        <f t="shared" si="0"/>
        <v>0</v>
      </c>
    </row>
    <row r="13" spans="1:14" ht="21" customHeight="1">
      <c r="B13" s="566"/>
      <c r="C13" s="576"/>
      <c r="D13" s="566"/>
      <c r="E13" s="572"/>
      <c r="F13" s="374"/>
      <c r="G13" s="374"/>
      <c r="H13" s="374"/>
      <c r="I13" s="374"/>
      <c r="J13" s="374"/>
      <c r="K13" s="574">
        <f t="shared" si="0"/>
        <v>0</v>
      </c>
    </row>
    <row r="14" spans="1:14" ht="21" customHeight="1">
      <c r="B14" s="566"/>
      <c r="C14" s="566"/>
      <c r="D14" s="566"/>
      <c r="E14" s="572"/>
      <c r="F14" s="374"/>
      <c r="G14" s="374"/>
      <c r="H14" s="374"/>
      <c r="I14" s="374"/>
      <c r="J14" s="374"/>
      <c r="K14" s="574">
        <f t="shared" si="0"/>
        <v>0</v>
      </c>
    </row>
    <row r="15" spans="1:14" ht="21" customHeight="1">
      <c r="A15" s="1577" t="s">
        <v>3556</v>
      </c>
      <c r="B15" s="566"/>
      <c r="C15" s="567"/>
      <c r="D15" s="566"/>
      <c r="E15" s="572"/>
      <c r="F15" s="374"/>
      <c r="G15" s="374"/>
      <c r="H15" s="374"/>
      <c r="I15" s="374"/>
      <c r="J15" s="374"/>
      <c r="K15" s="574">
        <f t="shared" si="0"/>
        <v>0</v>
      </c>
    </row>
    <row r="16" spans="1:14" ht="21" customHeight="1">
      <c r="A16" s="1577"/>
      <c r="B16" s="566"/>
      <c r="C16" s="567"/>
      <c r="D16" s="566"/>
      <c r="E16" s="572"/>
      <c r="F16" s="374"/>
      <c r="G16" s="374"/>
      <c r="H16" s="374"/>
      <c r="I16" s="374"/>
      <c r="J16" s="374"/>
      <c r="K16" s="574">
        <f t="shared" si="0"/>
        <v>0</v>
      </c>
    </row>
    <row r="17" spans="1:12" ht="21" customHeight="1">
      <c r="A17" s="1577"/>
      <c r="B17" s="566"/>
      <c r="C17" s="567"/>
      <c r="D17" s="566"/>
      <c r="E17" s="572"/>
      <c r="F17" s="374"/>
      <c r="G17" s="374"/>
      <c r="H17" s="374"/>
      <c r="I17" s="374"/>
      <c r="J17" s="374"/>
      <c r="K17" s="574">
        <f t="shared" si="0"/>
        <v>0</v>
      </c>
    </row>
    <row r="18" spans="1:12" ht="21" customHeight="1">
      <c r="B18" s="566"/>
      <c r="C18" s="567"/>
      <c r="D18" s="566"/>
      <c r="E18" s="572"/>
      <c r="F18" s="374"/>
      <c r="G18" s="374"/>
      <c r="H18" s="374"/>
      <c r="I18" s="374"/>
      <c r="J18" s="374"/>
      <c r="K18" s="574">
        <f t="shared" si="0"/>
        <v>0</v>
      </c>
    </row>
    <row r="19" spans="1:12" ht="21" customHeight="1">
      <c r="B19" s="566"/>
      <c r="C19" s="567"/>
      <c r="D19" s="566"/>
      <c r="E19" s="572"/>
      <c r="F19" s="374"/>
      <c r="G19" s="374"/>
      <c r="H19" s="374"/>
      <c r="I19" s="374"/>
      <c r="J19" s="374"/>
      <c r="K19" s="574">
        <f t="shared" si="0"/>
        <v>0</v>
      </c>
    </row>
    <row r="20" spans="1:12" ht="21" customHeight="1">
      <c r="B20" s="566"/>
      <c r="C20" s="566"/>
      <c r="D20" s="566"/>
      <c r="E20" s="572"/>
      <c r="F20" s="374"/>
      <c r="G20" s="374"/>
      <c r="H20" s="374"/>
      <c r="I20" s="374"/>
      <c r="J20" s="374"/>
      <c r="K20" s="574">
        <f t="shared" si="0"/>
        <v>0</v>
      </c>
    </row>
    <row r="21" spans="1:12" ht="21" customHeight="1">
      <c r="B21" s="566"/>
      <c r="C21" s="566"/>
      <c r="D21" s="566"/>
      <c r="E21" s="572"/>
      <c r="F21" s="374"/>
      <c r="G21" s="374"/>
      <c r="H21" s="374"/>
      <c r="I21" s="374"/>
      <c r="J21" s="374"/>
      <c r="K21" s="574">
        <f t="shared" si="0"/>
        <v>0</v>
      </c>
    </row>
    <row r="22" spans="1:12" ht="21" customHeight="1">
      <c r="B22" s="566"/>
      <c r="C22" s="566"/>
      <c r="D22" s="566"/>
      <c r="E22" s="572"/>
      <c r="F22" s="374"/>
      <c r="G22" s="374"/>
      <c r="H22" s="374"/>
      <c r="I22" s="374"/>
      <c r="J22" s="374"/>
      <c r="K22" s="574">
        <f t="shared" si="0"/>
        <v>0</v>
      </c>
    </row>
    <row r="23" spans="1:12" ht="21" customHeight="1">
      <c r="B23" s="566"/>
      <c r="C23" s="566"/>
      <c r="D23" s="566"/>
      <c r="E23" s="572"/>
      <c r="F23" s="374"/>
      <c r="G23" s="374"/>
      <c r="H23" s="374"/>
      <c r="I23" s="374"/>
      <c r="J23" s="374"/>
      <c r="K23" s="574">
        <f t="shared" si="0"/>
        <v>0</v>
      </c>
    </row>
    <row r="24" spans="1:12" ht="21" customHeight="1">
      <c r="B24" s="566"/>
      <c r="C24" s="566"/>
      <c r="D24" s="566"/>
      <c r="E24" s="572"/>
      <c r="F24" s="374"/>
      <c r="G24" s="374"/>
      <c r="H24" s="374"/>
      <c r="I24" s="374"/>
      <c r="J24" s="374"/>
      <c r="K24" s="574">
        <f t="shared" si="0"/>
        <v>0</v>
      </c>
    </row>
    <row r="25" spans="1:12" ht="21" customHeight="1">
      <c r="B25" s="566"/>
      <c r="C25" s="566"/>
      <c r="D25" s="566"/>
      <c r="E25" s="572"/>
      <c r="F25" s="374"/>
      <c r="G25" s="374"/>
      <c r="H25" s="374"/>
      <c r="I25" s="374"/>
      <c r="J25" s="374"/>
      <c r="K25" s="574">
        <f t="shared" si="0"/>
        <v>0</v>
      </c>
    </row>
    <row r="26" spans="1:12" ht="21" customHeight="1">
      <c r="B26" s="566"/>
      <c r="C26" s="566"/>
      <c r="D26" s="566"/>
      <c r="E26" s="572"/>
      <c r="F26" s="374"/>
      <c r="G26" s="374"/>
      <c r="H26" s="374"/>
      <c r="I26" s="374"/>
      <c r="J26" s="374"/>
      <c r="K26" s="57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136">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11"/>
      <c r="C4" s="11"/>
      <c r="D4" s="11"/>
      <c r="E4" s="11"/>
      <c r="F4" s="12"/>
      <c r="G4" s="12">
        <f>'KEY INPUTS'!D34</f>
        <v>2019</v>
      </c>
      <c r="H4" s="12"/>
      <c r="I4" s="6"/>
      <c r="J4" s="11"/>
      <c r="K4" s="863"/>
    </row>
    <row r="5" spans="1:14">
      <c r="B5" s="1546" t="s">
        <v>804</v>
      </c>
      <c r="C5" s="1546"/>
      <c r="D5" s="1546"/>
      <c r="E5" s="1595"/>
      <c r="F5" s="282" t="s">
        <v>671</v>
      </c>
      <c r="G5" s="282" t="s">
        <v>676</v>
      </c>
      <c r="H5" s="282" t="s">
        <v>803</v>
      </c>
      <c r="I5" s="788" t="s">
        <v>280</v>
      </c>
      <c r="J5" s="255" t="s">
        <v>566</v>
      </c>
      <c r="K5" s="864" t="s">
        <v>671</v>
      </c>
    </row>
    <row r="6" spans="1:14">
      <c r="F6" s="299" t="str">
        <f>'10-Grants Receivable'!F6</f>
        <v>Jan. 1, 2019</v>
      </c>
      <c r="G6" s="282" t="s">
        <v>801</v>
      </c>
      <c r="H6" s="282"/>
      <c r="I6" s="15"/>
      <c r="J6" s="758"/>
      <c r="K6" s="865" t="str">
        <f>'10-Grants Receivable'!K6</f>
        <v>Dec. 31, 2019</v>
      </c>
    </row>
    <row r="7" spans="1:14" ht="13.8" thickBot="1">
      <c r="B7" s="10"/>
      <c r="C7" s="10"/>
      <c r="D7" s="10"/>
      <c r="E7" s="10"/>
      <c r="F7" s="14"/>
      <c r="G7" s="16" t="s">
        <v>802</v>
      </c>
      <c r="H7" s="14"/>
      <c r="I7" s="14"/>
      <c r="J7" s="17"/>
      <c r="K7" s="866"/>
    </row>
    <row r="8" spans="1:14" ht="21" customHeight="1" thickTop="1">
      <c r="B8" s="790" t="s">
        <v>3546</v>
      </c>
      <c r="C8" s="790"/>
      <c r="D8" s="790"/>
      <c r="E8" s="791"/>
      <c r="F8" s="773">
        <f>+'10.10-Grants Receivable'!F27</f>
        <v>187000</v>
      </c>
      <c r="G8" s="773">
        <f>+'10.10-Grants Receivable'!G27</f>
        <v>246341.39</v>
      </c>
      <c r="H8" s="773">
        <f>+'10.10-Grants Receivable'!H27</f>
        <v>338323.35000000003</v>
      </c>
      <c r="I8" s="773">
        <f>+'10.10-Grants Receivable'!I27</f>
        <v>3229.96</v>
      </c>
      <c r="J8" s="773">
        <f>+'10.10-Grants Receivable'!J27</f>
        <v>0</v>
      </c>
      <c r="K8" s="901">
        <f>+'10.10-Grants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3557</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11"/>
      <c r="C4" s="11"/>
      <c r="D4" s="11"/>
      <c r="E4" s="11"/>
      <c r="F4" s="12"/>
      <c r="G4" s="12">
        <f>'KEY INPUTS'!D34</f>
        <v>2019</v>
      </c>
      <c r="H4" s="12"/>
      <c r="I4" s="6"/>
      <c r="J4" s="11"/>
      <c r="K4" s="863"/>
    </row>
    <row r="5" spans="1:14">
      <c r="B5" s="1546" t="s">
        <v>804</v>
      </c>
      <c r="C5" s="1546"/>
      <c r="D5" s="1546"/>
      <c r="E5" s="1595"/>
      <c r="F5" s="282" t="s">
        <v>671</v>
      </c>
      <c r="G5" s="282" t="s">
        <v>676</v>
      </c>
      <c r="H5" s="282" t="s">
        <v>803</v>
      </c>
      <c r="I5" s="788" t="s">
        <v>280</v>
      </c>
      <c r="J5" s="255" t="s">
        <v>566</v>
      </c>
      <c r="K5" s="864" t="s">
        <v>671</v>
      </c>
    </row>
    <row r="6" spans="1:14">
      <c r="F6" s="299" t="str">
        <f>'10-Grants Receivable'!F6</f>
        <v>Jan. 1, 2019</v>
      </c>
      <c r="G6" s="282" t="s">
        <v>801</v>
      </c>
      <c r="H6" s="282"/>
      <c r="I6" s="15"/>
      <c r="J6" s="758"/>
      <c r="K6" s="865" t="str">
        <f>'10-Grants Receivable'!K6</f>
        <v>Dec. 31, 2019</v>
      </c>
    </row>
    <row r="7" spans="1:14" ht="13.8" thickBot="1">
      <c r="B7" s="10"/>
      <c r="C7" s="10"/>
      <c r="D7" s="10"/>
      <c r="E7" s="10"/>
      <c r="F7" s="14"/>
      <c r="G7" s="16" t="s">
        <v>802</v>
      </c>
      <c r="H7" s="14"/>
      <c r="I7" s="14"/>
      <c r="J7" s="17"/>
      <c r="K7" s="866"/>
    </row>
    <row r="8" spans="1:14" ht="21" customHeight="1" thickTop="1">
      <c r="B8" s="790" t="s">
        <v>3546</v>
      </c>
      <c r="C8" s="790"/>
      <c r="D8" s="790"/>
      <c r="E8" s="791"/>
      <c r="F8" s="773">
        <f>'10.11-Grants Receivable'!F27</f>
        <v>187000</v>
      </c>
      <c r="G8" s="773">
        <f>+'10.11-Grants Receivable'!G27</f>
        <v>246341.39</v>
      </c>
      <c r="H8" s="773">
        <f>+'10.11-Grants Receivable'!H27</f>
        <v>338323.35000000003</v>
      </c>
      <c r="I8" s="773">
        <f>+'10.11-Grants Receivable'!I27</f>
        <v>3229.96</v>
      </c>
      <c r="J8" s="773">
        <f>+'10.11-Grants Receivable'!J27</f>
        <v>0</v>
      </c>
      <c r="K8" s="901">
        <f>+'10.11-Grants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3558</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11"/>
      <c r="C4" s="11"/>
      <c r="D4" s="11"/>
      <c r="E4" s="11"/>
      <c r="F4" s="12"/>
      <c r="G4" s="12">
        <f>'KEY INPUTS'!D34</f>
        <v>2019</v>
      </c>
      <c r="H4" s="12"/>
      <c r="I4" s="6"/>
      <c r="J4" s="11"/>
      <c r="K4" s="18"/>
    </row>
    <row r="5" spans="1:14">
      <c r="B5" s="1546" t="s">
        <v>804</v>
      </c>
      <c r="C5" s="1546"/>
      <c r="D5" s="1546"/>
      <c r="E5" s="1595"/>
      <c r="F5" s="282" t="s">
        <v>671</v>
      </c>
      <c r="G5" s="282" t="s">
        <v>676</v>
      </c>
      <c r="H5" s="282" t="s">
        <v>803</v>
      </c>
      <c r="I5" s="788" t="s">
        <v>280</v>
      </c>
      <c r="J5" s="255" t="s">
        <v>566</v>
      </c>
      <c r="K5" s="864" t="s">
        <v>671</v>
      </c>
    </row>
    <row r="6" spans="1:14">
      <c r="F6" s="299" t="str">
        <f>'10-Grants Receivable'!F6</f>
        <v>Jan. 1, 2019</v>
      </c>
      <c r="G6" s="282" t="s">
        <v>801</v>
      </c>
      <c r="H6" s="282"/>
      <c r="I6" s="15"/>
      <c r="J6" s="997"/>
      <c r="K6" s="865" t="str">
        <f>'10-Grants Receivable'!K6</f>
        <v>Dec. 31, 2019</v>
      </c>
    </row>
    <row r="7" spans="1:14" ht="13.8" thickBot="1">
      <c r="B7" s="10"/>
      <c r="C7" s="10"/>
      <c r="D7" s="10"/>
      <c r="E7" s="10"/>
      <c r="F7" s="14"/>
      <c r="G7" s="16" t="s">
        <v>802</v>
      </c>
      <c r="H7" s="14"/>
      <c r="I7" s="14"/>
      <c r="J7" s="17"/>
      <c r="K7" s="866"/>
    </row>
    <row r="8" spans="1:14" ht="21" customHeight="1" thickTop="1">
      <c r="B8" s="883" t="s">
        <v>3546</v>
      </c>
      <c r="C8" s="883"/>
      <c r="D8" s="883"/>
      <c r="E8" s="899"/>
      <c r="F8" s="900">
        <f>+'10.12-Grants Receivable'!F27</f>
        <v>187000</v>
      </c>
      <c r="G8" s="900">
        <f>+'10.12-Grants Receivable'!G27</f>
        <v>246341.39</v>
      </c>
      <c r="H8" s="900">
        <f>+'10.12-Grants Receivable'!H27</f>
        <v>338323.35000000003</v>
      </c>
      <c r="I8" s="900">
        <f>+'10.12-Grants Receivable'!I27</f>
        <v>3229.96</v>
      </c>
      <c r="J8" s="900">
        <f>+'10.12-Grants Receivable'!J27</f>
        <v>0</v>
      </c>
      <c r="K8" s="901">
        <f>+'10.12-Grants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3559</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+'10.13-Grants Receivable'!F27</f>
        <v>187000</v>
      </c>
      <c r="G8" s="900">
        <f>+'10.13-Grants Receivable'!G27</f>
        <v>246341.39</v>
      </c>
      <c r="H8" s="900">
        <f>+'10.13-Grants Receivable'!H27</f>
        <v>338323.35000000003</v>
      </c>
      <c r="I8" s="900">
        <f>+'10.13-Grants Receivable'!I27</f>
        <v>3229.96</v>
      </c>
      <c r="J8" s="900">
        <f>+'10.13-Grants Receivable'!J27</f>
        <v>0</v>
      </c>
      <c r="K8" s="901">
        <f>+'10.13-Grants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3560</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Y63"/>
  <sheetViews>
    <sheetView topLeftCell="A42" zoomScaleNormal="100" zoomScaleSheetLayoutView="80" workbookViewId="0">
      <selection activeCell="Q43" sqref="Q43"/>
    </sheetView>
  </sheetViews>
  <sheetFormatPr defaultRowHeight="13.2"/>
  <cols>
    <col min="1" max="4" width="4.6640625" customWidth="1"/>
    <col min="5" max="5" width="7.88671875" customWidth="1"/>
    <col min="6" max="6" width="8.5546875" customWidth="1"/>
    <col min="7" max="7" width="5.6640625" customWidth="1"/>
    <col min="8" max="9" width="4.6640625" customWidth="1"/>
    <col min="11" max="11" width="11.33203125" customWidth="1"/>
    <col min="12" max="12" width="10" customWidth="1"/>
    <col min="13" max="13" width="8.33203125" customWidth="1"/>
    <col min="14" max="14" width="7.44140625" customWidth="1"/>
    <col min="15" max="15" width="5.109375" customWidth="1"/>
    <col min="16" max="16" width="11" bestFit="1" customWidth="1"/>
    <col min="18" max="18" width="12.33203125" hidden="1" customWidth="1"/>
    <col min="25" max="25" width="0" hidden="1" customWidth="1"/>
  </cols>
  <sheetData>
    <row r="2" spans="2:19" ht="20.399999999999999">
      <c r="B2" s="1508" t="str">
        <f>"ANNUAL  FINANCIAL  STATEMENT  FOR  THE  YEAR  "&amp;TEXT('KEY INPUTS'!D34,"0")</f>
        <v>ANNUAL  FINANCIAL  STATEMENT  FOR  THE  YEAR  2019</v>
      </c>
      <c r="C2" s="1508"/>
      <c r="D2" s="1508"/>
      <c r="E2" s="1508"/>
      <c r="F2" s="1508"/>
      <c r="G2" s="1508"/>
      <c r="H2" s="1508"/>
      <c r="I2" s="1508"/>
      <c r="J2" s="1508"/>
      <c r="K2" s="1508"/>
      <c r="L2" s="1508"/>
      <c r="M2" s="1508"/>
      <c r="N2" s="1508"/>
      <c r="O2" s="1508"/>
    </row>
    <row r="3" spans="2:19" ht="20.399999999999999">
      <c r="B3" s="1508" t="s">
        <v>930</v>
      </c>
      <c r="C3" s="1508"/>
      <c r="D3" s="1508"/>
      <c r="E3" s="1508"/>
      <c r="F3" s="1508"/>
      <c r="G3" s="1508"/>
      <c r="H3" s="1508"/>
      <c r="I3" s="1508"/>
      <c r="J3" s="1508"/>
      <c r="K3" s="1508"/>
      <c r="L3" s="1508"/>
      <c r="M3" s="1508"/>
      <c r="N3" s="1508"/>
      <c r="O3" s="1508"/>
    </row>
    <row r="5" spans="2:19">
      <c r="J5" s="38" t="s">
        <v>931</v>
      </c>
      <c r="K5" s="1515">
        <f>'KEY INPUTS'!D37</f>
        <v>5801</v>
      </c>
      <c r="L5" s="1516"/>
    </row>
    <row r="6" spans="2:19">
      <c r="J6" s="38" t="str">
        <f>'KEY INPUTS'!C38</f>
        <v>NET  VALUATION  TAXABLE  2019</v>
      </c>
      <c r="K6" s="1519">
        <f>'KEY INPUTS'!D38</f>
        <v>1801787004</v>
      </c>
      <c r="L6" s="1519"/>
      <c r="M6" s="279"/>
      <c r="P6" s="252"/>
      <c r="R6" s="252"/>
      <c r="S6" s="252"/>
    </row>
    <row r="7" spans="2:19">
      <c r="J7" s="38" t="s">
        <v>95</v>
      </c>
      <c r="K7" s="1517" t="str">
        <f>'KEY INPUTS'!D39</f>
        <v>1821</v>
      </c>
      <c r="L7" s="1518"/>
    </row>
    <row r="8" spans="2:19">
      <c r="B8" s="1511" t="s">
        <v>932</v>
      </c>
      <c r="C8" s="1511"/>
      <c r="D8" s="1511"/>
      <c r="E8" s="1511"/>
      <c r="F8" s="1511"/>
      <c r="G8" s="1511"/>
      <c r="H8" s="1511"/>
      <c r="I8" s="1511"/>
      <c r="J8" s="1511"/>
      <c r="K8" s="1511"/>
      <c r="L8" s="1511"/>
      <c r="M8" s="1511"/>
      <c r="N8" s="1511"/>
      <c r="O8" s="1511"/>
    </row>
    <row r="9" spans="2:19">
      <c r="B9" s="1514" t="str">
        <f>'KEY INPUTS'!D42</f>
        <v>COUNTIES  - JANUARY  26, 2020</v>
      </c>
      <c r="C9" s="1511"/>
      <c r="D9" s="1511"/>
      <c r="E9" s="1511"/>
      <c r="F9" s="1511"/>
      <c r="G9" s="1511"/>
      <c r="H9" s="1511"/>
      <c r="I9" s="1511"/>
      <c r="J9" s="1511"/>
      <c r="K9" s="1511"/>
      <c r="L9" s="1511"/>
      <c r="M9" s="1511"/>
      <c r="N9" s="1511"/>
      <c r="O9" s="1511"/>
    </row>
    <row r="10" spans="2:19">
      <c r="B10" s="1514" t="str">
        <f>'KEY INPUTS'!D43</f>
        <v>MUNICIPALITIES  - FEBRUARY 10, 2020</v>
      </c>
      <c r="C10" s="1511"/>
      <c r="D10" s="1511"/>
      <c r="E10" s="1511"/>
      <c r="F10" s="1511"/>
      <c r="G10" s="1511"/>
      <c r="H10" s="1511"/>
      <c r="I10" s="1511"/>
      <c r="J10" s="1511"/>
      <c r="K10" s="1511"/>
      <c r="L10" s="1511"/>
      <c r="M10" s="1511"/>
      <c r="N10" s="1511"/>
      <c r="O10" s="1511"/>
    </row>
    <row r="12" spans="2:19" ht="13.8">
      <c r="B12" s="92" t="s">
        <v>933</v>
      </c>
    </row>
    <row r="13" spans="2:19" ht="13.8">
      <c r="B13" s="92" t="s">
        <v>934</v>
      </c>
    </row>
    <row r="14" spans="2:19" ht="13.8">
      <c r="B14" s="92" t="s">
        <v>935</v>
      </c>
    </row>
    <row r="15" spans="2:19" ht="13.8">
      <c r="B15" s="92" t="s">
        <v>936</v>
      </c>
    </row>
    <row r="17" spans="2:15">
      <c r="B17" s="1520" t="str">
        <f>+'KEY INPUTS'!D12</f>
        <v>BOROUGH</v>
      </c>
      <c r="C17" s="1520"/>
      <c r="D17" s="1520"/>
      <c r="E17" s="1520"/>
      <c r="F17" s="1520"/>
      <c r="G17" s="1" t="s">
        <v>682</v>
      </c>
      <c r="H17" s="1520" t="str">
        <f>+'KEY INPUTS'!D11</f>
        <v>WATCHUNG</v>
      </c>
      <c r="I17" s="1520"/>
      <c r="J17" s="1520"/>
      <c r="K17" s="1520"/>
      <c r="L17" t="s">
        <v>937</v>
      </c>
      <c r="M17" s="1520" t="str">
        <f>+'KEY INPUTS'!D10</f>
        <v>SOMERSET</v>
      </c>
      <c r="N17" s="1520"/>
      <c r="O17" s="1520"/>
    </row>
    <row r="19" spans="2:15">
      <c r="B19" s="1513" t="s">
        <v>938</v>
      </c>
      <c r="C19" s="1513"/>
      <c r="D19" s="1513"/>
      <c r="E19" s="1513"/>
      <c r="F19" s="1513"/>
      <c r="G19" s="1513"/>
      <c r="H19" s="1513"/>
      <c r="I19" s="1513"/>
      <c r="J19" s="1513"/>
      <c r="K19" s="1513"/>
      <c r="L19" s="1513"/>
      <c r="M19" s="1513"/>
      <c r="N19" s="1513"/>
      <c r="O19" s="1513"/>
    </row>
    <row r="20" spans="2:15">
      <c r="B20" s="1513" t="s">
        <v>939</v>
      </c>
      <c r="C20" s="1513"/>
      <c r="D20" s="1513"/>
      <c r="E20" s="1513"/>
      <c r="F20" s="1513"/>
      <c r="G20" s="1513"/>
      <c r="H20" s="1513"/>
      <c r="I20" s="1513"/>
      <c r="J20" s="1513"/>
      <c r="K20" s="1513"/>
      <c r="L20" s="1513"/>
      <c r="M20" s="1513"/>
      <c r="N20" s="1513"/>
      <c r="O20" s="1513"/>
    </row>
    <row r="22" spans="2:15" ht="24.9" customHeight="1">
      <c r="E22" s="187"/>
      <c r="F22" s="189" t="s">
        <v>18</v>
      </c>
      <c r="G22" s="1522" t="s">
        <v>942</v>
      </c>
      <c r="H22" s="1522"/>
      <c r="I22" s="1522"/>
      <c r="J22" s="1522"/>
      <c r="K22" s="1522"/>
      <c r="L22" s="1522"/>
      <c r="M22" s="1522"/>
    </row>
    <row r="23" spans="2:15" ht="24.9" customHeight="1">
      <c r="E23" s="188" t="s">
        <v>940</v>
      </c>
      <c r="F23" s="826"/>
      <c r="G23" s="1524"/>
      <c r="H23" s="1525"/>
      <c r="I23" s="1525"/>
      <c r="J23" s="1525"/>
      <c r="K23" s="1522" t="s">
        <v>943</v>
      </c>
      <c r="L23" s="1522"/>
      <c r="M23" s="1522"/>
    </row>
    <row r="24" spans="2:15" ht="24.9" customHeight="1">
      <c r="E24" s="188" t="s">
        <v>941</v>
      </c>
      <c r="F24" s="826"/>
      <c r="G24" s="1524"/>
      <c r="H24" s="1525"/>
      <c r="I24" s="1525"/>
      <c r="J24" s="1525"/>
      <c r="K24" s="1522" t="s">
        <v>944</v>
      </c>
      <c r="L24" s="1522"/>
      <c r="M24" s="1522"/>
    </row>
    <row r="26" spans="2:15">
      <c r="B26" s="190" t="s">
        <v>1156</v>
      </c>
    </row>
    <row r="27" spans="2:15">
      <c r="B27" s="190" t="s">
        <v>1157</v>
      </c>
    </row>
    <row r="28" spans="2:15">
      <c r="B28" s="190" t="s">
        <v>1158</v>
      </c>
    </row>
    <row r="29" spans="2:15" ht="20.100000000000001" customHeight="1">
      <c r="K29" s="38" t="s">
        <v>945</v>
      </c>
      <c r="L29" s="1526" t="s">
        <v>3952</v>
      </c>
      <c r="M29" s="1527"/>
      <c r="N29" s="1527"/>
    </row>
    <row r="30" spans="2:15" ht="20.100000000000001" customHeight="1">
      <c r="K30" s="38" t="s">
        <v>405</v>
      </c>
      <c r="L30" s="1528" t="s">
        <v>3953</v>
      </c>
      <c r="M30" s="1529"/>
      <c r="N30" s="1529"/>
    </row>
    <row r="32" spans="2:15">
      <c r="B32" s="242" t="s">
        <v>946</v>
      </c>
    </row>
    <row r="35" spans="2:25" ht="13.8">
      <c r="B35" s="92" t="s">
        <v>947</v>
      </c>
    </row>
    <row r="36" spans="2:25" ht="3" customHeight="1">
      <c r="B36" s="30"/>
      <c r="C36" s="30"/>
      <c r="D36" s="30"/>
      <c r="E36" s="30"/>
      <c r="F36" s="30"/>
      <c r="G36" s="30"/>
      <c r="H36" s="30"/>
      <c r="I36" s="30"/>
      <c r="J36" s="30"/>
      <c r="K36" s="30"/>
      <c r="L36" s="30"/>
      <c r="M36" s="30"/>
      <c r="N36" s="30"/>
      <c r="O36" s="30"/>
    </row>
    <row r="38" spans="2:25">
      <c r="B38" s="289" t="str">
        <f>"I hereby certify that I am responsible for filing this verified Annual Financial Statement,"</f>
        <v>I hereby certify that I am responsible for filing this verified Annual Financial Statement,</v>
      </c>
      <c r="C38" s="34"/>
      <c r="D38" s="34"/>
      <c r="E38" s="34"/>
      <c r="F38" s="34"/>
      <c r="G38" s="34"/>
      <c r="H38" s="34"/>
      <c r="I38" s="34"/>
      <c r="J38" s="34"/>
      <c r="K38" s="34"/>
      <c r="L38" s="289" t="str">
        <f>Y43</f>
        <v>(which I have prepared)</v>
      </c>
      <c r="M38" s="34"/>
      <c r="N38" s="289" t="s">
        <v>485</v>
      </c>
      <c r="O38" s="34"/>
    </row>
    <row r="39" spans="2:25">
      <c r="B39" s="100" t="str">
        <f>Y44</f>
        <v>(which I have not prepared)</v>
      </c>
      <c r="C39" s="34"/>
      <c r="D39" s="34"/>
      <c r="E39" s="34"/>
      <c r="F39" s="190" t="str">
        <f>Y45</f>
        <v>[eliminate one]</v>
      </c>
      <c r="G39" s="34"/>
      <c r="H39" s="289" t="str">
        <f>" and information required also included herein and that this Statement is an"</f>
        <v xml:space="preserve"> and information required also included herein and that this Statement is an</v>
      </c>
      <c r="I39" s="34"/>
      <c r="J39" s="34"/>
      <c r="K39" s="34"/>
      <c r="L39" s="34"/>
      <c r="M39" s="34"/>
      <c r="N39" s="34"/>
      <c r="O39" s="34"/>
      <c r="R39" s="710" t="s">
        <v>3636</v>
      </c>
    </row>
    <row r="40" spans="2:25">
      <c r="B40" s="100" t="s">
        <v>542</v>
      </c>
      <c r="C40" s="34"/>
      <c r="D40" s="34"/>
      <c r="E40" s="34"/>
      <c r="F40" s="34"/>
      <c r="G40" s="34"/>
      <c r="H40" s="34"/>
      <c r="I40" s="34"/>
      <c r="J40" s="34"/>
      <c r="K40" s="34"/>
      <c r="L40" s="34"/>
      <c r="M40" s="34"/>
      <c r="N40" s="34"/>
      <c r="O40" s="34"/>
      <c r="Q40" s="322"/>
    </row>
    <row r="41" spans="2:25">
      <c r="B41" s="100" t="s">
        <v>420</v>
      </c>
      <c r="C41" s="34"/>
      <c r="D41" s="34"/>
      <c r="E41" s="34"/>
      <c r="F41" s="34"/>
      <c r="G41" s="34"/>
      <c r="H41" s="34"/>
      <c r="I41" s="34"/>
      <c r="J41" s="34"/>
      <c r="K41" s="34"/>
      <c r="L41" s="34"/>
      <c r="M41" s="34"/>
      <c r="N41" s="34"/>
      <c r="O41" s="34"/>
      <c r="Q41" s="118" t="s">
        <v>3667</v>
      </c>
    </row>
    <row r="42" spans="2:25">
      <c r="B42" s="100" t="s">
        <v>1080</v>
      </c>
      <c r="C42" s="34"/>
      <c r="D42" s="34"/>
      <c r="E42" s="34"/>
      <c r="F42" s="34"/>
      <c r="G42" s="34"/>
      <c r="H42" s="34"/>
      <c r="I42" s="34"/>
      <c r="J42" s="34"/>
      <c r="K42" s="34"/>
      <c r="L42" s="34"/>
      <c r="M42" s="34"/>
      <c r="N42" s="34"/>
      <c r="O42" s="34"/>
      <c r="Q42" s="827" t="s">
        <v>3954</v>
      </c>
    </row>
    <row r="43" spans="2:25">
      <c r="B43" s="100" t="s">
        <v>469</v>
      </c>
      <c r="C43" s="34"/>
      <c r="D43" s="34"/>
      <c r="E43" s="34"/>
      <c r="F43" s="34"/>
      <c r="G43" s="34"/>
      <c r="H43" s="34"/>
      <c r="I43" s="34"/>
      <c r="J43" s="34"/>
      <c r="K43" s="34"/>
      <c r="L43" s="34"/>
      <c r="M43" s="34"/>
      <c r="N43" s="34"/>
      <c r="O43" s="34"/>
      <c r="Y43" s="324" t="s">
        <v>3668</v>
      </c>
    </row>
    <row r="44" spans="2:25">
      <c r="Y44" s="324" t="s">
        <v>3669</v>
      </c>
    </row>
    <row r="45" spans="2:25">
      <c r="B45" s="100" t="s">
        <v>591</v>
      </c>
      <c r="G45" s="1520" t="str">
        <f>IF('KEY INPUTS'!D21=0,"NO ENTRY",'KEY INPUTS'!D21)</f>
        <v>NO ENTRY</v>
      </c>
      <c r="H45" s="1520"/>
      <c r="I45" s="1520"/>
      <c r="J45" s="1520"/>
      <c r="K45" s="1520"/>
      <c r="L45" s="1520"/>
      <c r="M45" s="100" t="s">
        <v>23</v>
      </c>
      <c r="Y45" s="324" t="s">
        <v>3670</v>
      </c>
    </row>
    <row r="46" spans="2:25">
      <c r="B46" s="100" t="s">
        <v>948</v>
      </c>
      <c r="E46" s="1520" t="str">
        <f>IF('KEY INPUTS'!E21=0,"NO ENTRY",'KEY INPUTS'!E21)</f>
        <v>NO ENTRY</v>
      </c>
      <c r="F46" s="1520"/>
      <c r="G46" s="100" t="s">
        <v>24</v>
      </c>
      <c r="H46" s="1520" t="str">
        <f>+'KEY INPUTS'!D12</f>
        <v>BOROUGH</v>
      </c>
      <c r="I46" s="1520"/>
      <c r="J46" s="1520"/>
      <c r="K46" s="1520"/>
      <c r="L46" s="1520"/>
      <c r="M46" s="1520"/>
      <c r="N46" s="100" t="s">
        <v>682</v>
      </c>
    </row>
    <row r="47" spans="2:25">
      <c r="B47" s="1523" t="str">
        <f>+'KEY INPUTS'!D11</f>
        <v>WATCHUNG</v>
      </c>
      <c r="C47" s="1523"/>
      <c r="D47" s="1523"/>
      <c r="E47" s="1523"/>
      <c r="F47" s="1523"/>
      <c r="G47" s="100" t="s">
        <v>590</v>
      </c>
      <c r="I47" s="1520" t="str">
        <f>+'KEY INPUTS'!D10</f>
        <v>SOMERSET</v>
      </c>
      <c r="J47" s="1520"/>
      <c r="K47" s="1520"/>
      <c r="L47" s="1520"/>
      <c r="M47" s="1520"/>
      <c r="N47" s="100" t="s">
        <v>589</v>
      </c>
    </row>
    <row r="48" spans="2:25">
      <c r="B48" s="100" t="s">
        <v>22</v>
      </c>
    </row>
    <row r="49" spans="2:15">
      <c r="B49" s="289" t="str">
        <f>"December 31, "&amp;TEXT('KEY INPUTS'!D34,"0")&amp;", completely in compliance with N.J.S. 40A:5-12, as amended. I also give complete assurance as"</f>
        <v>December 31, 2019, completely in compliance with N.J.S. 40A:5-12, as amended. I also give complete assurance as</v>
      </c>
    </row>
    <row r="50" spans="2:15">
      <c r="B50" s="100" t="s">
        <v>61</v>
      </c>
    </row>
    <row r="51" spans="2:15">
      <c r="B51" s="289" t="str">
        <f>"Services, including the verification of cash balances as of December 31, "&amp;TEXT('KEY INPUTS'!D34,"0")&amp;"."</f>
        <v>Services, including the verification of cash balances as of December 31, 2019.</v>
      </c>
    </row>
    <row r="52" spans="2:15">
      <c r="F52" s="42"/>
      <c r="G52" s="42"/>
      <c r="H52" s="42"/>
      <c r="I52" s="42"/>
      <c r="J52" s="42"/>
      <c r="K52" s="42"/>
      <c r="L52" s="42"/>
    </row>
    <row r="53" spans="2:15" ht="20.100000000000001" customHeight="1">
      <c r="D53" t="s">
        <v>945</v>
      </c>
      <c r="F53" s="1521" t="s">
        <v>3952</v>
      </c>
      <c r="G53" s="1521"/>
      <c r="H53" s="1521"/>
      <c r="I53" s="1521"/>
      <c r="J53" s="1521"/>
      <c r="K53" s="1521"/>
      <c r="L53" s="1521"/>
    </row>
    <row r="54" spans="2:15" ht="20.100000000000001" customHeight="1">
      <c r="D54" t="s">
        <v>405</v>
      </c>
      <c r="F54" s="1521" t="s">
        <v>3953</v>
      </c>
      <c r="G54" s="1521"/>
      <c r="H54" s="1521"/>
      <c r="I54" s="1521"/>
      <c r="J54" s="1521"/>
      <c r="K54" s="1521"/>
      <c r="L54" s="1521"/>
    </row>
    <row r="55" spans="2:15" ht="20.100000000000001" customHeight="1">
      <c r="D55" t="s">
        <v>62</v>
      </c>
      <c r="F55" s="1530" t="str">
        <f>IF('KEY INPUTS'!D16=0,"NO ENTRY",'KEY INPUTS'!D16)</f>
        <v>15 MOUNTAIN BOULEVARD</v>
      </c>
      <c r="G55" s="1530"/>
      <c r="H55" s="1530"/>
      <c r="I55" s="1530"/>
      <c r="J55" s="1530"/>
      <c r="K55" s="1530"/>
      <c r="L55" s="1530"/>
    </row>
    <row r="56" spans="2:15" ht="20.100000000000001" customHeight="1">
      <c r="D56" t="s">
        <v>63</v>
      </c>
      <c r="G56" s="5"/>
      <c r="H56" s="1531" t="str">
        <f>IF('KEY INPUTS'!D18=0,"NO ENTRY",'KEY INPUTS'!D18)</f>
        <v>908-756-0080</v>
      </c>
      <c r="I56" s="1531"/>
      <c r="J56" s="1531"/>
      <c r="K56" s="5"/>
      <c r="L56" s="5"/>
    </row>
    <row r="57" spans="2:15" ht="20.100000000000001" customHeight="1">
      <c r="D57" t="s">
        <v>97</v>
      </c>
      <c r="G57" s="5"/>
      <c r="H57" s="1531" t="str">
        <f>IF('KEY INPUTS'!D19=0,"NO ENTRY",'KEY INPUTS'!D19)</f>
        <v>908-757-7027</v>
      </c>
      <c r="I57" s="1531"/>
      <c r="J57" s="1531"/>
      <c r="K57" s="5"/>
      <c r="L57" s="5"/>
    </row>
    <row r="59" spans="2:15">
      <c r="D59" t="s">
        <v>586</v>
      </c>
    </row>
    <row r="60" spans="2:15">
      <c r="D60" t="s">
        <v>65</v>
      </c>
    </row>
    <row r="61" spans="2:15">
      <c r="D61" t="s">
        <v>587</v>
      </c>
    </row>
    <row r="62" spans="2:15">
      <c r="D62" t="s">
        <v>588</v>
      </c>
    </row>
    <row r="63" spans="2:15" ht="13.8">
      <c r="B63" s="1507" t="s">
        <v>64</v>
      </c>
      <c r="C63" s="1507"/>
      <c r="D63" s="1507"/>
      <c r="E63" s="1507"/>
      <c r="F63" s="1507"/>
      <c r="G63" s="1507"/>
      <c r="H63" s="1507"/>
      <c r="I63" s="1507"/>
      <c r="J63" s="1507"/>
      <c r="K63" s="1507"/>
      <c r="L63" s="1507"/>
      <c r="M63" s="1507"/>
      <c r="N63" s="1507"/>
      <c r="O63" s="1507"/>
    </row>
  </sheetData>
  <sheetProtection password="CAF9" sheet="1" objects="1" scenarios="1"/>
  <customSheetViews>
    <customSheetView guid="{AC653BD0-46E3-42CB-9C76-32121A57B65A}" hiddenColumns="1" topLeftCell="B10">
      <selection activeCell="Q42" sqref="Q42"/>
      <pageMargins left="0.25" right="0.25" top="0.5" bottom="0.5" header="0.25" footer="0.25"/>
      <pageSetup paperSize="5" orientation="portrait" r:id="rId1"/>
      <headerFooter alignWithMargins="0"/>
    </customSheetView>
    <customSheetView guid="{B165479B-DC25-403C-9595-F1A88A4AA9A2}" hiddenColumns="1" topLeftCell="B19">
      <selection activeCell="E46" sqref="E46:F46"/>
      <pageMargins left="0.25" right="0.25" top="0.5" bottom="0.5" header="0.25" footer="0.25"/>
      <pageSetup paperSize="5" orientation="portrait" r:id="rId2"/>
      <headerFooter alignWithMargins="0"/>
    </customSheetView>
    <customSheetView guid="{A64E4C9E-A3DA-4AAA-8607-F524450B9436}" hiddenColumns="1" topLeftCell="B19">
      <selection activeCell="E46" sqref="E46:F46"/>
      <pageMargins left="0.25" right="0.25" top="0.5" bottom="0.5" header="0.25" footer="0.25"/>
      <pageSetup paperSize="5" orientation="portrait" r:id="rId3"/>
      <headerFooter alignWithMargins="0"/>
    </customSheetView>
    <customSheetView guid="{AB4FBD91-4533-473A-9702-569FF6402073}" hiddenColumns="1" topLeftCell="B1">
      <selection activeCell="K6" sqref="K6:L6"/>
      <pageMargins left="0.25" right="0.25" top="0.5" bottom="0.5" header="0.25" footer="0.25"/>
      <pageSetup paperSize="5" orientation="portrait" r:id="rId4"/>
      <headerFooter alignWithMargins="0"/>
    </customSheetView>
  </customSheetViews>
  <mergeCells count="31">
    <mergeCell ref="F54:L54"/>
    <mergeCell ref="F55:L55"/>
    <mergeCell ref="B63:O63"/>
    <mergeCell ref="H56:J56"/>
    <mergeCell ref="H57:J57"/>
    <mergeCell ref="F53:L53"/>
    <mergeCell ref="G22:M22"/>
    <mergeCell ref="K23:M23"/>
    <mergeCell ref="B47:F47"/>
    <mergeCell ref="I47:M47"/>
    <mergeCell ref="H46:M46"/>
    <mergeCell ref="G24:J24"/>
    <mergeCell ref="G23:J23"/>
    <mergeCell ref="K24:M24"/>
    <mergeCell ref="L29:N29"/>
    <mergeCell ref="L30:N30"/>
    <mergeCell ref="G45:L45"/>
    <mergeCell ref="E46:F46"/>
    <mergeCell ref="B19:O19"/>
    <mergeCell ref="B20:O20"/>
    <mergeCell ref="B2:O2"/>
    <mergeCell ref="B3:O3"/>
    <mergeCell ref="B8:O8"/>
    <mergeCell ref="B9:O9"/>
    <mergeCell ref="K5:L5"/>
    <mergeCell ref="K7:L7"/>
    <mergeCell ref="K6:L6"/>
    <mergeCell ref="B10:O10"/>
    <mergeCell ref="M17:O17"/>
    <mergeCell ref="H17:K17"/>
    <mergeCell ref="B17:F17"/>
  </mergeCells>
  <phoneticPr fontId="0" type="noConversion"/>
  <conditionalFormatting sqref="Y43">
    <cfRule type="expression" dxfId="18" priority="8">
      <formula>UPPER($Q$42)="N"</formula>
    </cfRule>
    <cfRule type="expression" dxfId="17" priority="9">
      <formula>UPPER($Q$42)="N"</formula>
    </cfRule>
  </conditionalFormatting>
  <conditionalFormatting sqref="L38">
    <cfRule type="expression" dxfId="16" priority="7">
      <formula>UPPER($Q$42)="N"</formula>
    </cfRule>
  </conditionalFormatting>
  <conditionalFormatting sqref="F39">
    <cfRule type="expression" dxfId="15" priority="3">
      <formula>UPPER($Q$42)="Y"</formula>
    </cfRule>
    <cfRule type="expression" dxfId="14" priority="6">
      <formula>UPPER($Q$42)="N"</formula>
    </cfRule>
  </conditionalFormatting>
  <conditionalFormatting sqref="Y45">
    <cfRule type="expression" dxfId="13" priority="1">
      <formula>UPPER($Q$42)="Y"</formula>
    </cfRule>
    <cfRule type="expression" dxfId="12" priority="5">
      <formula>UPPER($Q$42)="N"</formula>
    </cfRule>
  </conditionalFormatting>
  <conditionalFormatting sqref="B39">
    <cfRule type="expression" dxfId="11" priority="4">
      <formula>UPPER($Q$42)="Y"</formula>
    </cfRule>
  </conditionalFormatting>
  <conditionalFormatting sqref="Y44">
    <cfRule type="expression" dxfId="10" priority="2">
      <formula>UPPER($Q$42)="Y"</formula>
    </cfRule>
  </conditionalFormatting>
  <pageMargins left="0.25" right="0.25" top="0.5" bottom="0.5" header="0.25" footer="0.25"/>
  <pageSetup paperSize="5" orientation="portrait" r:id="rId5"/>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11"/>
      <c r="C4" s="11"/>
      <c r="D4" s="11"/>
      <c r="E4" s="11"/>
      <c r="F4" s="12"/>
      <c r="G4" s="12">
        <f>'KEY INPUTS'!D34</f>
        <v>2019</v>
      </c>
      <c r="H4" s="12"/>
      <c r="I4" s="6"/>
      <c r="J4" s="11"/>
      <c r="K4" s="863"/>
    </row>
    <row r="5" spans="1:14">
      <c r="B5" s="1546" t="s">
        <v>804</v>
      </c>
      <c r="C5" s="1546"/>
      <c r="D5" s="1546"/>
      <c r="E5" s="1595"/>
      <c r="F5" s="282" t="s">
        <v>671</v>
      </c>
      <c r="G5" s="282" t="s">
        <v>676</v>
      </c>
      <c r="H5" s="282" t="s">
        <v>803</v>
      </c>
      <c r="I5" s="788" t="s">
        <v>280</v>
      </c>
      <c r="J5" s="255" t="s">
        <v>566</v>
      </c>
      <c r="K5" s="864" t="s">
        <v>671</v>
      </c>
    </row>
    <row r="6" spans="1:14">
      <c r="F6" s="299" t="str">
        <f>'10-Grants Receivable'!F6</f>
        <v>Jan. 1, 2019</v>
      </c>
      <c r="G6" s="282" t="s">
        <v>801</v>
      </c>
      <c r="H6" s="282"/>
      <c r="I6" s="15"/>
      <c r="J6" s="758"/>
      <c r="K6" s="865" t="str">
        <f>'10-Grants Receivable'!K6</f>
        <v>Dec. 31, 2019</v>
      </c>
    </row>
    <row r="7" spans="1:14" ht="13.8" thickBot="1">
      <c r="B7" s="10"/>
      <c r="C7" s="10"/>
      <c r="D7" s="10"/>
      <c r="E7" s="10"/>
      <c r="F7" s="14"/>
      <c r="G7" s="16" t="s">
        <v>802</v>
      </c>
      <c r="H7" s="14"/>
      <c r="I7" s="14"/>
      <c r="J7" s="17"/>
      <c r="K7" s="866"/>
    </row>
    <row r="8" spans="1:14" ht="21" customHeight="1" thickTop="1">
      <c r="B8" s="883" t="s">
        <v>3546</v>
      </c>
      <c r="C8" s="883"/>
      <c r="D8" s="883"/>
      <c r="E8" s="899"/>
      <c r="F8" s="900">
        <f>+'10.14-Grants Receivable'!F27</f>
        <v>187000</v>
      </c>
      <c r="G8" s="900">
        <f>+'10.14-Grants Receivable'!G27</f>
        <v>246341.39</v>
      </c>
      <c r="H8" s="900">
        <f>+'10.14-Grants Receivable'!H27</f>
        <v>338323.35000000003</v>
      </c>
      <c r="I8" s="900">
        <f>+'10.14-Grants Receivable'!I27</f>
        <v>3229.96</v>
      </c>
      <c r="J8" s="900">
        <f>+'10.14-Grants Receivable'!J27</f>
        <v>0</v>
      </c>
      <c r="K8" s="901">
        <f>+'10.14-Grants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3561</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11"/>
      <c r="C4" s="11"/>
      <c r="D4" s="11"/>
      <c r="E4" s="11"/>
      <c r="F4" s="12"/>
      <c r="G4" s="12">
        <f>'KEY INPUTS'!D34</f>
        <v>2019</v>
      </c>
      <c r="H4" s="12"/>
      <c r="I4" s="6"/>
      <c r="J4" s="11"/>
      <c r="K4" s="863"/>
    </row>
    <row r="5" spans="1:14">
      <c r="B5" s="1546" t="s">
        <v>804</v>
      </c>
      <c r="C5" s="1546"/>
      <c r="D5" s="1546"/>
      <c r="E5" s="1595"/>
      <c r="F5" s="282" t="s">
        <v>671</v>
      </c>
      <c r="G5" s="282" t="s">
        <v>676</v>
      </c>
      <c r="H5" s="282" t="s">
        <v>803</v>
      </c>
      <c r="I5" s="788" t="s">
        <v>280</v>
      </c>
      <c r="J5" s="255" t="s">
        <v>566</v>
      </c>
      <c r="K5" s="864" t="s">
        <v>671</v>
      </c>
    </row>
    <row r="6" spans="1:14">
      <c r="F6" s="299" t="str">
        <f>'10-Grants Receivable'!F6</f>
        <v>Jan. 1, 2019</v>
      </c>
      <c r="G6" s="282" t="s">
        <v>801</v>
      </c>
      <c r="H6" s="282"/>
      <c r="I6" s="15"/>
      <c r="J6" s="758"/>
      <c r="K6" s="865" t="str">
        <f>'10-Grants Receivable'!K6</f>
        <v>Dec. 31, 2019</v>
      </c>
    </row>
    <row r="7" spans="1:14" ht="13.8" thickBot="1">
      <c r="B7" s="10"/>
      <c r="C7" s="10"/>
      <c r="D7" s="10"/>
      <c r="E7" s="10"/>
      <c r="F7" s="14"/>
      <c r="G7" s="16" t="s">
        <v>802</v>
      </c>
      <c r="H7" s="14"/>
      <c r="I7" s="14"/>
      <c r="J7" s="17"/>
      <c r="K7" s="866"/>
    </row>
    <row r="8" spans="1:14" ht="21" customHeight="1" thickTop="1">
      <c r="B8" s="883" t="s">
        <v>3546</v>
      </c>
      <c r="C8" s="883"/>
      <c r="D8" s="883"/>
      <c r="E8" s="899"/>
      <c r="F8" s="900">
        <f>+'10.15-Grants Receivable'!F27</f>
        <v>187000</v>
      </c>
      <c r="G8" s="900">
        <f>+'10.15-Grants Receivable'!G27</f>
        <v>246341.39</v>
      </c>
      <c r="H8" s="900">
        <f>+'10.15-Grants Receivable'!H27</f>
        <v>338323.35000000003</v>
      </c>
      <c r="I8" s="900">
        <f>+'10.15-Grants Receivable'!I27</f>
        <v>3229.96</v>
      </c>
      <c r="J8" s="900">
        <f>+'10.15-Grants Receivable'!J27</f>
        <v>0</v>
      </c>
      <c r="K8" s="901">
        <f>+'10.15-Grants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99" t="s">
        <v>3562</v>
      </c>
      <c r="B15" s="566"/>
      <c r="C15" s="567"/>
      <c r="D15" s="566"/>
      <c r="E15" s="572"/>
      <c r="F15" s="374"/>
      <c r="G15" s="374"/>
      <c r="H15" s="374"/>
      <c r="I15" s="374"/>
      <c r="J15" s="374"/>
      <c r="K15" s="844">
        <f t="shared" si="0"/>
        <v>0</v>
      </c>
    </row>
    <row r="16" spans="1:14" ht="21" customHeight="1">
      <c r="A16" s="1599"/>
      <c r="B16" s="566"/>
      <c r="C16" s="567"/>
      <c r="D16" s="566"/>
      <c r="E16" s="572"/>
      <c r="F16" s="374"/>
      <c r="G16" s="374"/>
      <c r="H16" s="374"/>
      <c r="I16" s="374"/>
      <c r="J16" s="374"/>
      <c r="K16" s="844">
        <f t="shared" si="0"/>
        <v>0</v>
      </c>
    </row>
    <row r="17" spans="1:12" ht="21" customHeight="1">
      <c r="A17" s="1599"/>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+'10.16-Grants Receivable'!F27</f>
        <v>187000</v>
      </c>
      <c r="G8" s="900">
        <f>+'10.16-Grants Receivable'!G27</f>
        <v>246341.39</v>
      </c>
      <c r="H8" s="900">
        <f>+'10.16-Grants Receivable'!H27</f>
        <v>338323.35000000003</v>
      </c>
      <c r="I8" s="900">
        <f>+'10.16-Grants Receivable'!I27</f>
        <v>3229.96</v>
      </c>
      <c r="J8" s="900">
        <f>+'10.16-Grants Receivable'!J27</f>
        <v>0</v>
      </c>
      <c r="K8" s="901">
        <f>+'10.16-Grants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3563</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11"/>
      <c r="C4" s="11"/>
      <c r="D4" s="11"/>
      <c r="E4" s="11"/>
      <c r="F4" s="12"/>
      <c r="G4" s="12">
        <f>'KEY INPUTS'!D34</f>
        <v>2019</v>
      </c>
      <c r="H4" s="12"/>
      <c r="I4" s="6"/>
      <c r="J4" s="11"/>
      <c r="K4" s="863"/>
    </row>
    <row r="5" spans="1:14">
      <c r="B5" s="1546" t="s">
        <v>804</v>
      </c>
      <c r="C5" s="1546"/>
      <c r="D5" s="1546"/>
      <c r="E5" s="1595"/>
      <c r="F5" s="282" t="s">
        <v>671</v>
      </c>
      <c r="G5" s="282" t="s">
        <v>676</v>
      </c>
      <c r="H5" s="282" t="s">
        <v>803</v>
      </c>
      <c r="I5" s="788" t="s">
        <v>280</v>
      </c>
      <c r="J5" s="255" t="s">
        <v>566</v>
      </c>
      <c r="K5" s="864" t="s">
        <v>671</v>
      </c>
    </row>
    <row r="6" spans="1:14">
      <c r="F6" s="299" t="str">
        <f>'10-Grants Receivable'!F6</f>
        <v>Jan. 1, 2019</v>
      </c>
      <c r="G6" s="282" t="s">
        <v>801</v>
      </c>
      <c r="H6" s="282"/>
      <c r="I6" s="15"/>
      <c r="J6" s="758"/>
      <c r="K6" s="865" t="str">
        <f>'10-Grants Receivable'!K6</f>
        <v>Dec. 31, 2019</v>
      </c>
    </row>
    <row r="7" spans="1:14" ht="13.8" thickBot="1">
      <c r="B7" s="10"/>
      <c r="C7" s="10"/>
      <c r="D7" s="10"/>
      <c r="E7" s="10"/>
      <c r="F7" s="14"/>
      <c r="G7" s="16" t="s">
        <v>802</v>
      </c>
      <c r="H7" s="14"/>
      <c r="I7" s="14"/>
      <c r="J7" s="17"/>
      <c r="K7" s="866"/>
    </row>
    <row r="8" spans="1:14" ht="21" customHeight="1" thickTop="1">
      <c r="B8" s="883" t="s">
        <v>3546</v>
      </c>
      <c r="C8" s="883"/>
      <c r="D8" s="883"/>
      <c r="E8" s="899"/>
      <c r="F8" s="900">
        <f>+'10.17-Grants Receivable'!F27</f>
        <v>187000</v>
      </c>
      <c r="G8" s="900">
        <f>+'10.17-Grants Receivable'!G27</f>
        <v>246341.39</v>
      </c>
      <c r="H8" s="900">
        <f>+'10.17-Grants Receivable'!H27</f>
        <v>338323.35000000003</v>
      </c>
      <c r="I8" s="900">
        <f>+'10.17-Grants Receivable'!I27</f>
        <v>3229.96</v>
      </c>
      <c r="J8" s="900">
        <f>+'10.17-Grants Receivable'!J27</f>
        <v>0</v>
      </c>
      <c r="K8" s="901">
        <f>+'10.17-Grants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3565</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08" t="s">
        <v>789</v>
      </c>
      <c r="C3" s="1508"/>
      <c r="D3" s="1508"/>
      <c r="E3" s="1508"/>
      <c r="F3" s="1508"/>
      <c r="G3" s="1508"/>
      <c r="H3" s="1508"/>
      <c r="I3" s="1508"/>
      <c r="J3" s="1508"/>
      <c r="K3" s="1508"/>
    </row>
    <row r="4" spans="1:14" ht="13.8" thickTop="1">
      <c r="B4" s="11"/>
      <c r="C4" s="11"/>
      <c r="D4" s="11"/>
      <c r="E4" s="11"/>
      <c r="F4" s="12"/>
      <c r="G4" s="12">
        <f>'KEY INPUTS'!D34</f>
        <v>2019</v>
      </c>
      <c r="H4" s="12"/>
      <c r="I4" s="6"/>
      <c r="J4" s="11"/>
      <c r="K4" s="863"/>
    </row>
    <row r="5" spans="1:14">
      <c r="B5" s="1546" t="s">
        <v>804</v>
      </c>
      <c r="C5" s="1546"/>
      <c r="D5" s="1546"/>
      <c r="E5" s="1595"/>
      <c r="F5" s="282" t="s">
        <v>671</v>
      </c>
      <c r="G5" s="282" t="s">
        <v>676</v>
      </c>
      <c r="H5" s="282" t="s">
        <v>803</v>
      </c>
      <c r="I5" s="788" t="s">
        <v>280</v>
      </c>
      <c r="J5" s="255" t="s">
        <v>566</v>
      </c>
      <c r="K5" s="864" t="s">
        <v>671</v>
      </c>
    </row>
    <row r="6" spans="1:14">
      <c r="F6" s="299" t="str">
        <f>'10-Grants Receivable'!F6</f>
        <v>Jan. 1, 2019</v>
      </c>
      <c r="G6" s="282" t="s">
        <v>801</v>
      </c>
      <c r="H6" s="282"/>
      <c r="I6" s="15"/>
      <c r="J6" s="758"/>
      <c r="K6" s="865" t="str">
        <f>'10-Grants Receivable'!K6</f>
        <v>Dec. 31, 2019</v>
      </c>
    </row>
    <row r="7" spans="1:14" ht="13.8" thickBot="1">
      <c r="B7" s="10"/>
      <c r="C7" s="10"/>
      <c r="D7" s="10"/>
      <c r="E7" s="10"/>
      <c r="F7" s="14"/>
      <c r="G7" s="16" t="s">
        <v>802</v>
      </c>
      <c r="H7" s="14"/>
      <c r="I7" s="14"/>
      <c r="J7" s="17"/>
      <c r="K7" s="866"/>
    </row>
    <row r="8" spans="1:14" ht="21" customHeight="1" thickTop="1">
      <c r="B8" s="883" t="s">
        <v>3546</v>
      </c>
      <c r="C8" s="883"/>
      <c r="D8" s="883"/>
      <c r="E8" s="899"/>
      <c r="F8" s="900">
        <f>+'10.18-Grants Receivable'!F27</f>
        <v>187000</v>
      </c>
      <c r="G8" s="900">
        <f>+'10.18-Grants Receivable'!G27</f>
        <v>246341.39</v>
      </c>
      <c r="H8" s="900">
        <f>+'10.18-Grants Receivable'!H27</f>
        <v>338323.35000000003</v>
      </c>
      <c r="I8" s="900">
        <f>+'10.18-Grants Receivable'!I27</f>
        <v>3229.96</v>
      </c>
      <c r="J8" s="900">
        <f>+'10.18-Grants Receivable'!J27</f>
        <v>0</v>
      </c>
      <c r="K8" s="901">
        <f>+'10.18-Grants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3564</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+'10.19-Grants Receivable'!F27</f>
        <v>187000</v>
      </c>
      <c r="G8" s="900">
        <f>+'10.19-Grants Receivable'!G27</f>
        <v>246341.39</v>
      </c>
      <c r="H8" s="900">
        <f>+'10.19-Grants Receivable'!H27</f>
        <v>338323.35000000003</v>
      </c>
      <c r="I8" s="900">
        <f>+'10.19-Grants Receivable'!I27</f>
        <v>3229.96</v>
      </c>
      <c r="J8" s="900">
        <f>+'10.19-Grants Receivable'!J27</f>
        <v>0</v>
      </c>
      <c r="K8" s="901">
        <f>+'10.19-Grants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3566</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f>F27+G27-H27+I27-K27-J27</f>
        <v>-1.4551915228366852E-11</v>
      </c>
    </row>
    <row r="30" spans="1:12">
      <c r="F30" s="325"/>
      <c r="G30" s="325"/>
      <c r="K30" s="325"/>
      <c r="L30" s="325"/>
    </row>
    <row r="31" spans="1:12">
      <c r="K31" s="325">
        <f>+F27+G27-H27-I27-J27-K27</f>
        <v>-6459.9200000000274</v>
      </c>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+'10.20-Grants Receivable'!F27</f>
        <v>187000</v>
      </c>
      <c r="G8" s="900">
        <f>+'10.20-Grants Receivable'!G27</f>
        <v>246341.39</v>
      </c>
      <c r="H8" s="900">
        <f>+'10.20-Grants Receivable'!H27</f>
        <v>338323.35000000003</v>
      </c>
      <c r="I8" s="900">
        <f>+'10.20-Grants Receivable'!I27</f>
        <v>3229.96</v>
      </c>
      <c r="J8" s="900">
        <f>+'10.20-Grants Receivable'!J27</f>
        <v>0</v>
      </c>
      <c r="K8" s="901">
        <f>+'10.20-Grants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3567</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row>
    <row r="30" spans="1:12">
      <c r="F30" s="325"/>
      <c r="G30" s="325"/>
      <c r="K30" s="325"/>
      <c r="L30" s="325"/>
    </row>
    <row r="31" spans="1:12">
      <c r="K31" s="325"/>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+'10.21-Grants Receivable'!F27</f>
        <v>187000</v>
      </c>
      <c r="G8" s="900">
        <f>+'10.21-Grants Receivable'!G27</f>
        <v>246341.39</v>
      </c>
      <c r="H8" s="900">
        <f>+'10.21-Grants Receivable'!H27</f>
        <v>338323.35000000003</v>
      </c>
      <c r="I8" s="900">
        <f>+'10.21-Grants Receivable'!I27</f>
        <v>3229.96</v>
      </c>
      <c r="J8" s="900">
        <f>+'10.21-Grants Receivable'!J27</f>
        <v>0</v>
      </c>
      <c r="K8" s="901">
        <f>+'10.21-Grants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3568</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row>
    <row r="30" spans="1:12">
      <c r="F30" s="325"/>
      <c r="G30" s="325"/>
      <c r="K30" s="325"/>
      <c r="L30" s="325"/>
    </row>
    <row r="31" spans="1:12">
      <c r="K31" s="325"/>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1" spans="1:14">
      <c r="B1" s="853"/>
      <c r="C1" s="853"/>
      <c r="D1" s="853"/>
      <c r="E1" s="853"/>
      <c r="F1" s="853"/>
      <c r="G1" s="853"/>
      <c r="H1" s="853"/>
      <c r="I1" s="853"/>
      <c r="J1" s="853"/>
      <c r="K1" s="853"/>
    </row>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+'10.22-Grants Receivable'!F27</f>
        <v>187000</v>
      </c>
      <c r="G8" s="900">
        <f>+'10.22-Grants Receivable'!G27</f>
        <v>246341.39</v>
      </c>
      <c r="H8" s="900">
        <f>+'10.22-Grants Receivable'!H27</f>
        <v>338323.35000000003</v>
      </c>
      <c r="I8" s="900">
        <f>+'10.22-Grants Receivable'!I27</f>
        <v>3229.96</v>
      </c>
      <c r="J8" s="900">
        <f>+'10.22-Grants Receivable'!J27</f>
        <v>0</v>
      </c>
      <c r="K8" s="901">
        <f>+'10.22-Grants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3569</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row>
    <row r="30" spans="1:12">
      <c r="F30" s="325"/>
      <c r="G30" s="325"/>
      <c r="K30" s="325"/>
      <c r="L30" s="325"/>
    </row>
    <row r="31" spans="1:12">
      <c r="K31" s="325"/>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2:N32"/>
  <sheetViews>
    <sheetView zoomScaleNormal="100" workbookViewId="0">
      <selection activeCell="B1" sqref="B1"/>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96" t="s">
        <v>296</v>
      </c>
      <c r="C2" s="1596"/>
      <c r="D2" s="1596"/>
      <c r="E2" s="1596"/>
      <c r="F2" s="1596"/>
      <c r="G2" s="1596"/>
      <c r="H2" s="1596"/>
      <c r="I2" s="1596"/>
      <c r="J2" s="1596"/>
      <c r="K2" s="1596"/>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+'10.23-Grants Receivable'!F27</f>
        <v>187000</v>
      </c>
      <c r="G8" s="900">
        <f>+'10.23-Grants Receivable'!G27</f>
        <v>246341.39</v>
      </c>
      <c r="H8" s="900">
        <f>+'10.23-Grants Receivable'!H27</f>
        <v>338323.35000000003</v>
      </c>
      <c r="I8" s="900">
        <f>+'10.23-Grants Receivable'!I27</f>
        <v>3229.96</v>
      </c>
      <c r="J8" s="900">
        <f>+'10.23-Grants Receivable'!J27</f>
        <v>0</v>
      </c>
      <c r="K8" s="901">
        <f>+'10.23-Grants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3570</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27" t="s">
        <v>3545</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row>
    <row r="30" spans="1:12">
      <c r="F30" s="325"/>
      <c r="G30" s="325"/>
      <c r="K30" s="325"/>
      <c r="L30" s="325"/>
    </row>
    <row r="31" spans="1:12">
      <c r="K31" s="325"/>
    </row>
    <row r="32" spans="1:12">
      <c r="G32" s="325"/>
    </row>
  </sheetData>
  <sheetProtection password="CAF9" sheet="1" objects="1" scenarios="1"/>
  <customSheetViews>
    <customSheetView guid="{AC653BD0-46E3-42CB-9C76-32121A57B65A}" state="hidden">
      <selection activeCell="B1" sqref="B1"/>
      <pageMargins left="0.25" right="0.25" top="0.5" bottom="0.5" header="0.25" footer="0.25"/>
      <pageSetup paperSize="5" orientation="landscape" r:id="rId1"/>
      <headerFooter alignWithMargins="0"/>
    </customSheetView>
    <customSheetView guid="{B165479B-DC25-403C-9595-F1A88A4AA9A2}" state="hidden">
      <selection activeCell="B1" sqref="B1"/>
      <pageMargins left="0.25" right="0.25" top="0.5" bottom="0.5" header="0.25" footer="0.25"/>
      <pageSetup paperSize="5" orientation="landscape" r:id="rId2"/>
      <headerFooter alignWithMargins="0"/>
    </customSheetView>
    <customSheetView guid="{A64E4C9E-A3DA-4AAA-8607-F524450B9436}" state="hidden">
      <selection activeCell="B1" sqref="B1"/>
      <pageMargins left="0.25" right="0.25" top="0.5" bottom="0.5" header="0.25" footer="0.25"/>
      <pageSetup paperSize="5" orientation="landscape" r:id="rId3"/>
      <headerFooter alignWithMargins="0"/>
    </customSheetView>
    <customSheetView guid="{AB4FBD91-4533-473A-9702-569FF6402073}" state="hidden">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orientation="landscape" r:id="rId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3:Y70"/>
  <sheetViews>
    <sheetView zoomScaleNormal="100" workbookViewId="0">
      <selection activeCell="B3" sqref="B3:O3"/>
    </sheetView>
  </sheetViews>
  <sheetFormatPr defaultRowHeight="13.2"/>
  <cols>
    <col min="2" max="2" width="4" customWidth="1"/>
    <col min="3" max="3" width="5.44140625" customWidth="1"/>
    <col min="4" max="4" width="3.6640625" customWidth="1"/>
    <col min="5" max="5" width="8.33203125" customWidth="1"/>
    <col min="6" max="6" width="6.5546875" customWidth="1"/>
    <col min="7" max="7" width="10.5546875" customWidth="1"/>
    <col min="8" max="8" width="5.33203125" customWidth="1"/>
    <col min="12" max="12" width="10.88671875" customWidth="1"/>
    <col min="14" max="14" width="1.44140625" customWidth="1"/>
    <col min="17" max="17" width="0" hidden="1" customWidth="1"/>
    <col min="25" max="25" width="0" hidden="1" customWidth="1"/>
  </cols>
  <sheetData>
    <row r="3" spans="2:14" ht="17.399999999999999">
      <c r="B3" s="184" t="s">
        <v>4</v>
      </c>
      <c r="C3" s="184"/>
      <c r="D3" s="184"/>
      <c r="E3" s="184"/>
      <c r="F3" s="184"/>
      <c r="G3" s="184"/>
      <c r="H3" s="184"/>
      <c r="I3" s="184"/>
      <c r="J3" s="184"/>
      <c r="K3" s="184"/>
      <c r="L3" s="184"/>
      <c r="M3" s="184"/>
      <c r="N3" s="184"/>
    </row>
    <row r="5" spans="2:14">
      <c r="B5" s="37" t="s">
        <v>346</v>
      </c>
    </row>
    <row r="8" spans="2:14" ht="13.8">
      <c r="B8" s="93" t="s">
        <v>810</v>
      </c>
    </row>
    <row r="9" spans="2:14" ht="13.8">
      <c r="B9" s="93" t="s">
        <v>652</v>
      </c>
    </row>
    <row r="10" spans="2:14" ht="13.8">
      <c r="B10" s="93" t="s">
        <v>1039</v>
      </c>
      <c r="C10" s="93"/>
      <c r="D10" s="93"/>
      <c r="E10" s="93"/>
      <c r="F10" s="1535" t="str">
        <f>+'KEY INPUTS'!D12</f>
        <v>BOROUGH</v>
      </c>
      <c r="G10" s="1535"/>
      <c r="H10" s="183" t="s">
        <v>682</v>
      </c>
      <c r="I10" s="1535" t="str">
        <f>+'KEY INPUTS'!D11</f>
        <v>WATCHUNG</v>
      </c>
      <c r="J10" s="1535"/>
      <c r="K10" s="1535"/>
      <c r="L10" s="1535"/>
      <c r="M10" s="93"/>
      <c r="N10" s="93"/>
    </row>
    <row r="11" spans="2:14" ht="13.8">
      <c r="B11" s="93" t="s">
        <v>731</v>
      </c>
      <c r="C11" s="93"/>
      <c r="D11" s="93"/>
      <c r="E11" s="93"/>
      <c r="F11" s="186">
        <f>'KEY INPUTS'!D34</f>
        <v>2019</v>
      </c>
      <c r="G11" s="185" t="s">
        <v>926</v>
      </c>
      <c r="H11" s="93"/>
      <c r="I11" s="93"/>
      <c r="J11" s="93"/>
      <c r="K11" s="93"/>
      <c r="L11" s="93"/>
      <c r="M11" s="93"/>
    </row>
    <row r="12" spans="2:14" ht="13.8">
      <c r="B12" s="93" t="s">
        <v>364</v>
      </c>
      <c r="C12" s="93"/>
      <c r="D12" s="93"/>
      <c r="E12" s="93"/>
      <c r="F12" s="93"/>
      <c r="G12" s="93"/>
      <c r="H12" s="93"/>
      <c r="I12" s="93"/>
      <c r="J12" s="93"/>
      <c r="K12" s="93"/>
      <c r="L12" s="93"/>
      <c r="M12" s="93"/>
    </row>
    <row r="13" spans="2:14" ht="13.8">
      <c r="B13" s="93" t="s">
        <v>365</v>
      </c>
      <c r="C13" s="93"/>
      <c r="D13" s="93"/>
      <c r="E13" s="93"/>
      <c r="F13" s="93"/>
      <c r="G13" s="93"/>
      <c r="H13" s="93"/>
      <c r="I13" s="93"/>
      <c r="J13" s="93"/>
      <c r="K13" s="93"/>
      <c r="L13" s="93"/>
      <c r="M13" s="93"/>
    </row>
    <row r="14" spans="2:14" ht="13.8">
      <c r="B14" s="93" t="s">
        <v>367</v>
      </c>
      <c r="C14" s="93"/>
      <c r="D14" s="93"/>
      <c r="E14" s="93"/>
      <c r="F14" s="93"/>
      <c r="G14" s="93"/>
      <c r="H14" s="93"/>
      <c r="I14" s="93"/>
      <c r="J14" s="93"/>
      <c r="K14" s="93"/>
      <c r="L14" s="93"/>
      <c r="M14" s="93"/>
    </row>
    <row r="17" spans="2:25" ht="13.8">
      <c r="B17" s="93" t="s">
        <v>368</v>
      </c>
      <c r="C17" s="93"/>
      <c r="D17" s="93"/>
      <c r="E17" s="93"/>
      <c r="F17" s="93"/>
      <c r="G17" s="93"/>
      <c r="H17" s="93"/>
      <c r="I17" s="93"/>
      <c r="J17" s="93"/>
      <c r="K17" s="93"/>
      <c r="L17" s="93"/>
      <c r="M17" s="93"/>
    </row>
    <row r="18" spans="2:25" ht="13.8">
      <c r="B18" s="93" t="s">
        <v>369</v>
      </c>
      <c r="C18" s="93"/>
      <c r="D18" s="93"/>
      <c r="E18" s="93"/>
      <c r="F18" s="93"/>
      <c r="G18" s="93"/>
      <c r="H18" s="93"/>
      <c r="I18" s="93"/>
      <c r="J18" s="93"/>
      <c r="K18" s="93"/>
      <c r="L18" s="93"/>
      <c r="M18" s="93"/>
    </row>
    <row r="19" spans="2:25" ht="13.8">
      <c r="B19" s="93" t="s">
        <v>902</v>
      </c>
      <c r="C19" s="93"/>
      <c r="D19" s="93"/>
      <c r="E19" s="93"/>
      <c r="F19" s="93"/>
      <c r="G19" s="93"/>
      <c r="H19" s="93"/>
      <c r="I19" s="93"/>
      <c r="J19" s="93"/>
      <c r="K19" s="93"/>
      <c r="L19" s="93"/>
      <c r="M19" s="93"/>
    </row>
    <row r="20" spans="2:25" ht="13.8">
      <c r="B20" s="93" t="s">
        <v>3674</v>
      </c>
      <c r="C20" s="93"/>
      <c r="D20" s="93"/>
      <c r="E20" s="93"/>
      <c r="F20" s="93"/>
      <c r="G20" s="93" t="s">
        <v>3675</v>
      </c>
      <c r="H20" s="93"/>
      <c r="I20" s="93"/>
      <c r="J20" s="93"/>
      <c r="K20" s="93"/>
      <c r="L20" s="93"/>
      <c r="M20" s="93" t="s">
        <v>485</v>
      </c>
      <c r="Q20" s="710" t="s">
        <v>3638</v>
      </c>
    </row>
    <row r="21" spans="2:25" ht="13.8">
      <c r="B21" s="93" t="s">
        <v>3672</v>
      </c>
      <c r="C21" s="93"/>
      <c r="D21" s="93"/>
      <c r="E21" s="92" t="s">
        <v>3676</v>
      </c>
      <c r="F21" s="93"/>
      <c r="G21" s="288" t="s">
        <v>3677</v>
      </c>
      <c r="I21" s="93"/>
      <c r="J21" s="93"/>
      <c r="K21" s="93"/>
      <c r="L21" s="93"/>
      <c r="M21" s="93"/>
      <c r="P21" s="118" t="s">
        <v>3691</v>
      </c>
    </row>
    <row r="22" spans="2:25" ht="13.8">
      <c r="B22" s="93" t="s">
        <v>927</v>
      </c>
      <c r="C22" s="93"/>
      <c r="D22" s="93"/>
      <c r="E22" s="93"/>
      <c r="F22" s="93"/>
      <c r="G22" s="93"/>
      <c r="H22" s="1537" t="str">
        <f>'KEY INPUTS'!D46</f>
        <v>Dec. 31, 2019</v>
      </c>
      <c r="I22" s="1535"/>
      <c r="J22" s="93" t="s">
        <v>923</v>
      </c>
      <c r="K22" s="93"/>
      <c r="L22" s="93"/>
      <c r="M22" s="93"/>
      <c r="P22" s="118" t="s">
        <v>3673</v>
      </c>
      <c r="Y22" s="324" t="s">
        <v>3671</v>
      </c>
    </row>
    <row r="23" spans="2:25" ht="13.8">
      <c r="B23" s="93" t="s">
        <v>922</v>
      </c>
      <c r="C23" s="93"/>
      <c r="D23" s="93"/>
      <c r="E23" s="93"/>
      <c r="F23" s="93"/>
      <c r="G23" s="93"/>
      <c r="H23" s="93"/>
      <c r="I23" s="93"/>
      <c r="J23" s="93"/>
      <c r="K23" s="93"/>
      <c r="L23" s="93"/>
      <c r="M23" s="93"/>
      <c r="P23" s="827"/>
      <c r="Y23" s="324" t="s">
        <v>3672</v>
      </c>
    </row>
    <row r="24" spans="2:25" ht="13.8">
      <c r="B24" s="93" t="s">
        <v>830</v>
      </c>
      <c r="C24" s="93"/>
      <c r="D24" s="93"/>
      <c r="E24" s="93"/>
      <c r="F24" s="93"/>
      <c r="G24" s="93"/>
      <c r="H24" s="93"/>
      <c r="I24" s="93"/>
      <c r="J24" s="93"/>
      <c r="K24" s="93"/>
      <c r="L24" s="93"/>
      <c r="M24" s="93"/>
      <c r="Y24" s="324" t="s">
        <v>3670</v>
      </c>
    </row>
    <row r="25" spans="2:25" ht="13.8">
      <c r="B25" s="93" t="s">
        <v>831</v>
      </c>
      <c r="C25" s="93"/>
      <c r="D25" s="93"/>
      <c r="E25" s="93"/>
      <c r="F25" s="93"/>
      <c r="G25" s="93"/>
      <c r="H25" s="93"/>
      <c r="I25" s="93"/>
      <c r="J25" s="93"/>
      <c r="K25" s="93"/>
      <c r="L25" s="93"/>
      <c r="M25" s="93"/>
    </row>
    <row r="26" spans="2:25" ht="13.8">
      <c r="B26" s="93" t="s">
        <v>835</v>
      </c>
      <c r="C26" s="93"/>
      <c r="D26" s="93"/>
      <c r="E26" s="93"/>
      <c r="F26" s="93"/>
      <c r="G26" s="93"/>
      <c r="H26" s="93"/>
      <c r="I26" s="93"/>
      <c r="J26" s="93"/>
      <c r="K26" s="93"/>
      <c r="L26" s="93"/>
      <c r="M26" s="93"/>
    </row>
    <row r="27" spans="2:25" ht="13.8">
      <c r="B27" s="93" t="s">
        <v>836</v>
      </c>
      <c r="C27" s="93"/>
      <c r="D27" s="93"/>
      <c r="E27" s="93"/>
      <c r="F27" s="93"/>
      <c r="G27" s="93"/>
      <c r="H27" s="93"/>
      <c r="I27" s="93"/>
      <c r="J27" s="93"/>
      <c r="K27" s="93"/>
      <c r="L27" s="93"/>
      <c r="M27" s="93"/>
    </row>
    <row r="28" spans="2:25" ht="13.8">
      <c r="B28" s="93" t="s">
        <v>371</v>
      </c>
      <c r="C28" s="93"/>
      <c r="D28" s="93"/>
      <c r="E28" s="93"/>
      <c r="F28" s="93"/>
      <c r="G28" s="93"/>
      <c r="H28" s="93"/>
      <c r="I28" s="93"/>
      <c r="J28" s="93"/>
      <c r="K28" s="93"/>
      <c r="L28" s="93"/>
      <c r="M28" s="93"/>
    </row>
    <row r="29" spans="2:25" ht="13.8">
      <c r="B29" s="93" t="s">
        <v>928</v>
      </c>
      <c r="C29" s="93"/>
      <c r="D29" s="93"/>
      <c r="E29" s="93"/>
      <c r="F29" s="93"/>
      <c r="G29" s="93"/>
      <c r="H29" s="93"/>
      <c r="I29" s="93"/>
      <c r="J29" s="93"/>
      <c r="K29" s="93"/>
      <c r="L29" s="93"/>
      <c r="M29" s="93"/>
    </row>
    <row r="31" spans="2:25" ht="13.8">
      <c r="B31" s="93" t="s">
        <v>653</v>
      </c>
    </row>
    <row r="32" spans="2:25" ht="13.8">
      <c r="B32" s="93" t="s">
        <v>929</v>
      </c>
    </row>
    <row r="33" spans="2:19">
      <c r="B33" s="280"/>
      <c r="C33" s="280"/>
      <c r="D33" s="280"/>
      <c r="E33" s="280"/>
      <c r="F33" s="280"/>
      <c r="G33" s="280"/>
      <c r="H33" s="280"/>
      <c r="I33" s="280"/>
      <c r="J33" s="280"/>
      <c r="K33" s="280"/>
      <c r="L33" s="280"/>
      <c r="M33" s="280"/>
      <c r="N33" s="280"/>
      <c r="O33" s="280"/>
    </row>
    <row r="34" spans="2:19" ht="13.8">
      <c r="B34" s="828"/>
      <c r="C34" s="828"/>
      <c r="D34" s="828"/>
      <c r="E34" s="828"/>
      <c r="F34" s="828"/>
      <c r="G34" s="828"/>
      <c r="H34" s="828"/>
      <c r="I34" s="828"/>
      <c r="J34" s="828"/>
      <c r="K34" s="828"/>
      <c r="L34" s="828"/>
      <c r="M34" s="828"/>
      <c r="N34" s="288"/>
      <c r="O34" s="288"/>
    </row>
    <row r="35" spans="2:19" ht="13.8">
      <c r="B35" s="828"/>
      <c r="C35" s="828"/>
      <c r="D35" s="828"/>
      <c r="E35" s="828"/>
      <c r="F35" s="828"/>
      <c r="G35" s="828"/>
      <c r="H35" s="828"/>
      <c r="I35" s="828"/>
      <c r="J35" s="828"/>
      <c r="K35" s="828"/>
      <c r="L35" s="828"/>
      <c r="M35" s="828"/>
      <c r="N35" s="288"/>
      <c r="O35" s="288"/>
    </row>
    <row r="36" spans="2:19" ht="13.8">
      <c r="B36" s="829"/>
      <c r="C36" s="829"/>
      <c r="D36" s="830"/>
      <c r="E36" s="829"/>
      <c r="F36" s="828"/>
      <c r="G36" s="828"/>
      <c r="H36" s="828"/>
      <c r="I36" s="828"/>
      <c r="J36" s="828"/>
      <c r="K36" s="828"/>
      <c r="L36" s="828"/>
      <c r="M36" s="828"/>
      <c r="N36" s="288"/>
      <c r="O36" s="288"/>
    </row>
    <row r="37" spans="2:19" ht="13.8">
      <c r="B37" s="829"/>
      <c r="C37" s="829"/>
      <c r="D37" s="829"/>
      <c r="E37" s="829"/>
      <c r="F37" s="828"/>
      <c r="G37" s="828"/>
      <c r="H37" s="828"/>
      <c r="I37" s="828"/>
      <c r="J37" s="828"/>
      <c r="K37" s="828"/>
      <c r="L37" s="828"/>
      <c r="M37" s="828"/>
      <c r="N37" s="288"/>
      <c r="O37" s="288"/>
    </row>
    <row r="38" spans="2:19" ht="13.8">
      <c r="B38" s="829"/>
      <c r="C38" s="829"/>
      <c r="D38" s="830"/>
      <c r="E38" s="829"/>
      <c r="F38" s="828"/>
      <c r="G38" s="828"/>
      <c r="H38" s="828"/>
      <c r="I38" s="828"/>
      <c r="J38" s="828"/>
      <c r="K38" s="828"/>
      <c r="L38" s="828"/>
      <c r="M38" s="828"/>
      <c r="N38" s="288"/>
      <c r="O38" s="288"/>
    </row>
    <row r="39" spans="2:19" s="280" customFormat="1" ht="13.8">
      <c r="B39" s="829"/>
      <c r="C39" s="829"/>
      <c r="D39" s="830"/>
      <c r="E39" s="829"/>
      <c r="F39" s="828"/>
      <c r="G39" s="828"/>
      <c r="H39" s="828"/>
      <c r="I39" s="828"/>
      <c r="J39" s="828"/>
      <c r="K39" s="828"/>
      <c r="L39" s="828"/>
      <c r="M39" s="828"/>
      <c r="N39" s="288"/>
      <c r="O39" s="288"/>
      <c r="S39"/>
    </row>
    <row r="40" spans="2:19" s="280" customFormat="1" ht="13.8">
      <c r="B40" s="829"/>
      <c r="C40" s="829"/>
      <c r="D40" s="829"/>
      <c r="E40" s="829"/>
      <c r="F40" s="828"/>
      <c r="G40" s="828"/>
      <c r="H40" s="828"/>
      <c r="I40" s="828"/>
      <c r="J40" s="828"/>
      <c r="K40" s="828"/>
      <c r="L40" s="828"/>
      <c r="M40" s="828"/>
      <c r="N40" s="288"/>
      <c r="O40" s="288"/>
    </row>
    <row r="41" spans="2:19" ht="13.8">
      <c r="B41" s="829"/>
      <c r="C41" s="831"/>
      <c r="D41" s="830"/>
      <c r="E41" s="829"/>
      <c r="F41" s="828"/>
      <c r="G41" s="828"/>
      <c r="H41" s="828"/>
      <c r="I41" s="828"/>
      <c r="J41" s="828"/>
      <c r="K41" s="828"/>
      <c r="L41" s="828"/>
      <c r="M41" s="828"/>
      <c r="N41" s="288"/>
      <c r="O41" s="288"/>
    </row>
    <row r="42" spans="2:19" ht="13.8">
      <c r="B42" s="829"/>
      <c r="C42" s="829"/>
      <c r="D42" s="830"/>
      <c r="E42" s="829"/>
      <c r="F42" s="828"/>
      <c r="G42" s="828"/>
      <c r="H42" s="828"/>
      <c r="I42" s="828"/>
      <c r="J42" s="828"/>
      <c r="K42" s="828"/>
      <c r="L42" s="828"/>
      <c r="M42" s="828"/>
      <c r="N42" s="288"/>
      <c r="O42" s="288"/>
    </row>
    <row r="43" spans="2:19" ht="13.8">
      <c r="B43" s="829"/>
      <c r="C43" s="829"/>
      <c r="D43" s="829"/>
      <c r="E43" s="829"/>
      <c r="F43" s="828"/>
      <c r="G43" s="828"/>
      <c r="H43" s="828"/>
      <c r="I43" s="828"/>
      <c r="J43" s="828"/>
      <c r="K43" s="828"/>
      <c r="L43" s="828"/>
      <c r="M43" s="828"/>
      <c r="N43" s="288"/>
      <c r="O43" s="288"/>
    </row>
    <row r="44" spans="2:19" ht="13.8">
      <c r="B44" s="829"/>
      <c r="C44" s="829"/>
      <c r="D44" s="830"/>
      <c r="E44" s="829"/>
      <c r="F44" s="828"/>
      <c r="G44" s="828"/>
      <c r="H44" s="828"/>
      <c r="I44" s="828"/>
      <c r="J44" s="828"/>
      <c r="K44" s="828"/>
      <c r="L44" s="828"/>
      <c r="M44" s="828"/>
      <c r="N44" s="288"/>
      <c r="O44" s="288"/>
    </row>
    <row r="45" spans="2:19" ht="13.8">
      <c r="B45" s="829"/>
      <c r="C45" s="829"/>
      <c r="D45" s="830"/>
      <c r="E45" s="829"/>
      <c r="F45" s="828"/>
      <c r="G45" s="828"/>
      <c r="H45" s="828"/>
      <c r="I45" s="828"/>
      <c r="J45" s="828"/>
      <c r="K45" s="828"/>
      <c r="L45" s="828"/>
      <c r="M45" s="828"/>
      <c r="N45" s="288"/>
      <c r="O45" s="288"/>
    </row>
    <row r="46" spans="2:19" ht="13.8">
      <c r="B46" s="829"/>
      <c r="C46" s="829"/>
      <c r="D46" s="829"/>
      <c r="E46" s="829"/>
      <c r="F46" s="828"/>
      <c r="G46" s="828"/>
      <c r="H46" s="828"/>
      <c r="I46" s="828"/>
      <c r="J46" s="828"/>
      <c r="K46" s="828"/>
      <c r="L46" s="828"/>
      <c r="M46" s="828"/>
      <c r="N46" s="288"/>
      <c r="O46" s="288"/>
    </row>
    <row r="47" spans="2:19" ht="13.8">
      <c r="B47" s="829"/>
      <c r="C47" s="829"/>
      <c r="D47" s="829"/>
      <c r="E47" s="829"/>
      <c r="F47" s="828"/>
      <c r="G47" s="828"/>
      <c r="H47" s="828"/>
      <c r="I47" s="828"/>
      <c r="J47" s="828"/>
      <c r="K47" s="828"/>
      <c r="L47" s="828"/>
      <c r="M47" s="828"/>
      <c r="N47" s="288"/>
      <c r="O47" s="288"/>
    </row>
    <row r="48" spans="2:19" ht="13.8">
      <c r="B48" s="829"/>
      <c r="C48" s="829"/>
      <c r="D48" s="829"/>
      <c r="E48" s="829"/>
      <c r="F48" s="828"/>
      <c r="G48" s="828"/>
      <c r="H48" s="828"/>
      <c r="I48" s="828"/>
      <c r="J48" s="828"/>
      <c r="K48" s="828"/>
      <c r="L48" s="828"/>
      <c r="M48" s="828"/>
      <c r="N48" s="288"/>
      <c r="O48" s="288"/>
    </row>
    <row r="49" spans="2:13">
      <c r="B49" s="313"/>
      <c r="C49" s="313"/>
      <c r="D49" s="313"/>
      <c r="E49" s="313"/>
    </row>
    <row r="50" spans="2:13">
      <c r="I50" s="1516" t="str">
        <f>IF('KEY INPUTS'!D22=0,"NO ENTRY",'KEY INPUTS'!D22)</f>
        <v>Joseph J Faccone</v>
      </c>
      <c r="J50" s="1516"/>
      <c r="K50" s="1516"/>
      <c r="L50" s="1516"/>
      <c r="M50" s="1516"/>
    </row>
    <row r="51" spans="2:13">
      <c r="I51" s="1532" t="s">
        <v>814</v>
      </c>
      <c r="J51" s="1532"/>
      <c r="K51" s="1532"/>
      <c r="L51" s="1532"/>
      <c r="M51" s="1532"/>
    </row>
    <row r="53" spans="2:13">
      <c r="I53" s="1533" t="s">
        <v>3888</v>
      </c>
      <c r="J53" s="1533"/>
      <c r="K53" s="1533"/>
      <c r="L53" s="1533"/>
      <c r="M53" s="1533"/>
    </row>
    <row r="54" spans="2:13">
      <c r="I54" s="1532" t="s">
        <v>815</v>
      </c>
      <c r="J54" s="1532"/>
      <c r="K54" s="1532"/>
      <c r="L54" s="1532"/>
      <c r="M54" s="1532"/>
    </row>
    <row r="56" spans="2:13">
      <c r="I56" s="1533" t="s">
        <v>3889</v>
      </c>
      <c r="J56" s="1533"/>
      <c r="K56" s="1533"/>
      <c r="L56" s="1533"/>
      <c r="M56" s="1533"/>
    </row>
    <row r="57" spans="2:13">
      <c r="I57" s="1532" t="s">
        <v>816</v>
      </c>
      <c r="J57" s="1532"/>
      <c r="K57" s="1532"/>
      <c r="L57" s="1532"/>
      <c r="M57" s="1532"/>
    </row>
    <row r="59" spans="2:13">
      <c r="B59" t="s">
        <v>811</v>
      </c>
      <c r="I59" s="1533" t="s">
        <v>3890</v>
      </c>
      <c r="J59" s="1533"/>
      <c r="K59" s="1533"/>
      <c r="L59" s="1533"/>
      <c r="M59" s="1533"/>
    </row>
    <row r="60" spans="2:13">
      <c r="I60" s="1532" t="s">
        <v>816</v>
      </c>
      <c r="J60" s="1532"/>
      <c r="K60" s="1532"/>
      <c r="L60" s="1532"/>
      <c r="M60" s="1532"/>
    </row>
    <row r="61" spans="2:13">
      <c r="B61" t="s">
        <v>812</v>
      </c>
      <c r="C61" s="711"/>
      <c r="D61" t="s">
        <v>813</v>
      </c>
      <c r="E61" s="1536"/>
      <c r="F61" s="1533"/>
      <c r="G61" s="1533"/>
      <c r="H61" s="285" t="str">
        <f>","&amp;TEXT('KEY INPUTS'!D33,"0")</f>
        <v>,2020</v>
      </c>
    </row>
    <row r="62" spans="2:13">
      <c r="C62" s="132"/>
      <c r="E62" s="132"/>
      <c r="F62" s="132"/>
      <c r="G62" s="132"/>
      <c r="I62" s="42"/>
      <c r="J62" s="1533" t="s">
        <v>3891</v>
      </c>
      <c r="K62" s="1533"/>
      <c r="L62" s="1533"/>
      <c r="M62" s="42"/>
    </row>
    <row r="63" spans="2:13">
      <c r="I63" s="1534" t="s">
        <v>817</v>
      </c>
      <c r="J63" s="1532"/>
      <c r="K63" s="1532"/>
      <c r="L63" s="1532"/>
      <c r="M63" s="1534"/>
    </row>
    <row r="65" spans="1:14">
      <c r="I65" s="42"/>
      <c r="J65" s="1533" t="s">
        <v>3892</v>
      </c>
      <c r="K65" s="1533"/>
      <c r="L65" s="1533"/>
      <c r="M65" s="42"/>
    </row>
    <row r="66" spans="1:14">
      <c r="I66" s="1534" t="s">
        <v>98</v>
      </c>
      <c r="J66" s="1532"/>
      <c r="K66" s="1532"/>
      <c r="L66" s="1532"/>
      <c r="M66" s="1534"/>
    </row>
    <row r="70" spans="1:14" ht="13.8">
      <c r="A70" s="1507" t="s">
        <v>1038</v>
      </c>
      <c r="B70" s="1507"/>
      <c r="C70" s="1507"/>
      <c r="D70" s="1507"/>
      <c r="E70" s="1507"/>
      <c r="F70" s="1507"/>
      <c r="G70" s="1507"/>
      <c r="H70" s="1507"/>
      <c r="I70" s="1507"/>
      <c r="J70" s="1507"/>
      <c r="K70" s="1507"/>
      <c r="L70" s="1507"/>
      <c r="M70" s="1507"/>
      <c r="N70" s="1507"/>
    </row>
  </sheetData>
  <sheetProtection password="CAF9" sheet="1" objects="1" scenarios="1"/>
  <customSheetViews>
    <customSheetView guid="{AC653BD0-46E3-42CB-9C76-32121A57B65A}" hiddenColumns="1">
      <selection activeCell="P23" sqref="P23"/>
      <pageMargins left="0.25" right="0.25" top="0.5" bottom="0.5" header="0.25" footer="0.25"/>
      <pageSetup paperSize="5" orientation="portrait" r:id="rId1"/>
      <headerFooter alignWithMargins="0"/>
    </customSheetView>
    <customSheetView guid="{B165479B-DC25-403C-9595-F1A88A4AA9A2}" hiddenColumns="1" topLeftCell="A28">
      <selection activeCell="J65" sqref="J65:L65"/>
      <pageMargins left="0.25" right="0.25" top="0.5" bottom="0.5" header="0.25" footer="0.25"/>
      <pageSetup paperSize="5" orientation="portrait" r:id="rId2"/>
      <headerFooter alignWithMargins="0"/>
    </customSheetView>
    <customSheetView guid="{A64E4C9E-A3DA-4AAA-8607-F524450B9436}" hiddenColumns="1" topLeftCell="A28">
      <selection activeCell="J65" sqref="J65:L65"/>
      <pageMargins left="0.25" right="0.25" top="0.5" bottom="0.5" header="0.25" footer="0.25"/>
      <pageSetup paperSize="5" orientation="portrait" r:id="rId3"/>
      <headerFooter alignWithMargins="0"/>
    </customSheetView>
    <customSheetView guid="{AB4FBD91-4533-473A-9702-569FF6402073}" hiddenColumns="1">
      <selection activeCell="J65" sqref="J65:L65"/>
      <pageMargins left="0.25" right="0.25" top="0.5" bottom="0.5" header="0.25" footer="0.25"/>
      <pageSetup paperSize="5" orientation="portrait" r:id="rId4"/>
      <headerFooter alignWithMargins="0"/>
    </customSheetView>
  </customSheetViews>
  <mergeCells count="17">
    <mergeCell ref="I53:M53"/>
    <mergeCell ref="I54:M54"/>
    <mergeCell ref="I10:L10"/>
    <mergeCell ref="F10:G10"/>
    <mergeCell ref="E61:G61"/>
    <mergeCell ref="H22:I22"/>
    <mergeCell ref="I50:M50"/>
    <mergeCell ref="I51:M51"/>
    <mergeCell ref="A70:N70"/>
    <mergeCell ref="I60:M60"/>
    <mergeCell ref="J62:L62"/>
    <mergeCell ref="I56:M56"/>
    <mergeCell ref="I57:M57"/>
    <mergeCell ref="J65:L65"/>
    <mergeCell ref="I63:M63"/>
    <mergeCell ref="I66:M66"/>
    <mergeCell ref="I59:M59"/>
  </mergeCells>
  <phoneticPr fontId="0" type="noConversion"/>
  <conditionalFormatting sqref="G20">
    <cfRule type="expression" dxfId="9" priority="4">
      <formula>UPPER($P$23)="N"</formula>
    </cfRule>
  </conditionalFormatting>
  <conditionalFormatting sqref="B21">
    <cfRule type="expression" dxfId="8" priority="3">
      <formula>UPPER($P$23)="Y"</formula>
    </cfRule>
  </conditionalFormatting>
  <conditionalFormatting sqref="E21">
    <cfRule type="expression" dxfId="7" priority="1">
      <formula>UPPER($P$23)="N"</formula>
    </cfRule>
    <cfRule type="expression" dxfId="6" priority="2">
      <formula>UPPER($P$23)="Y"</formula>
    </cfRule>
  </conditionalFormatting>
  <pageMargins left="0.25" right="0.25" top="0.5" bottom="0.5" header="0.25" footer="0.25"/>
  <pageSetup paperSize="5" orientation="portrait" r:id="rId5"/>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2:N32"/>
  <sheetViews>
    <sheetView zoomScaleNormal="100" workbookViewId="0">
      <selection activeCell="B3" sqref="B3:O3"/>
    </sheetView>
  </sheetViews>
  <sheetFormatPr defaultColWidth="9.109375" defaultRowHeight="13.2"/>
  <cols>
    <col min="1" max="1" width="5.6640625" style="322" customWidth="1"/>
    <col min="2" max="4" width="4.88671875" style="322" customWidth="1"/>
    <col min="5" max="5" width="36.109375" style="322" customWidth="1"/>
    <col min="6" max="11" width="15.6640625" style="322" customWidth="1"/>
    <col min="12" max="12" width="11.88671875" style="322" bestFit="1" customWidth="1"/>
    <col min="13" max="16384" width="9.109375" style="322"/>
  </cols>
  <sheetData>
    <row r="2" spans="1:14" ht="20.399999999999999">
      <c r="B2" s="1508" t="s">
        <v>296</v>
      </c>
      <c r="C2" s="1508"/>
      <c r="D2" s="1508"/>
      <c r="E2" s="1508"/>
      <c r="F2" s="1508"/>
      <c r="G2" s="1508"/>
      <c r="H2" s="1508"/>
      <c r="I2" s="1508"/>
      <c r="J2" s="1508"/>
      <c r="K2" s="1508"/>
    </row>
    <row r="3" spans="1:14" ht="21" thickBot="1">
      <c r="B3" s="1596" t="s">
        <v>789</v>
      </c>
      <c r="C3" s="1596"/>
      <c r="D3" s="1596"/>
      <c r="E3" s="1596"/>
      <c r="F3" s="1596"/>
      <c r="G3" s="1596"/>
      <c r="H3" s="1596"/>
      <c r="I3" s="1596"/>
      <c r="J3" s="1596"/>
      <c r="K3" s="1596"/>
    </row>
    <row r="4" spans="1:14" ht="13.8" thickTop="1">
      <c r="B4" s="886"/>
      <c r="C4" s="886"/>
      <c r="D4" s="886"/>
      <c r="E4" s="886"/>
      <c r="F4" s="887"/>
      <c r="G4" s="887">
        <f>'KEY INPUTS'!D34</f>
        <v>2019</v>
      </c>
      <c r="H4" s="887"/>
      <c r="I4" s="888"/>
      <c r="J4" s="886"/>
      <c r="K4" s="863"/>
    </row>
    <row r="5" spans="1:14">
      <c r="B5" s="1597" t="s">
        <v>804</v>
      </c>
      <c r="C5" s="1597"/>
      <c r="D5" s="1597"/>
      <c r="E5" s="1598"/>
      <c r="F5" s="889" t="s">
        <v>671</v>
      </c>
      <c r="G5" s="889" t="s">
        <v>676</v>
      </c>
      <c r="H5" s="889" t="s">
        <v>803</v>
      </c>
      <c r="I5" s="890" t="s">
        <v>280</v>
      </c>
      <c r="J5" s="891" t="s">
        <v>566</v>
      </c>
      <c r="K5" s="864" t="s">
        <v>671</v>
      </c>
    </row>
    <row r="6" spans="1:14">
      <c r="B6" s="853"/>
      <c r="C6" s="853"/>
      <c r="D6" s="853"/>
      <c r="E6" s="853"/>
      <c r="F6" s="892" t="str">
        <f>'10-Grants Receivable'!F6</f>
        <v>Jan. 1, 2019</v>
      </c>
      <c r="G6" s="889" t="s">
        <v>801</v>
      </c>
      <c r="H6" s="889"/>
      <c r="I6" s="893"/>
      <c r="J6" s="894"/>
      <c r="K6" s="865" t="str">
        <f>'10-Grants Receivable'!K6</f>
        <v>Dec. 31, 2019</v>
      </c>
    </row>
    <row r="7" spans="1:14" ht="13.8" thickBot="1">
      <c r="B7" s="895"/>
      <c r="C7" s="895"/>
      <c r="D7" s="895"/>
      <c r="E7" s="895"/>
      <c r="F7" s="896"/>
      <c r="G7" s="897" t="s">
        <v>802</v>
      </c>
      <c r="H7" s="896"/>
      <c r="I7" s="896"/>
      <c r="J7" s="898"/>
      <c r="K7" s="866"/>
    </row>
    <row r="8" spans="1:14" ht="21" customHeight="1" thickTop="1">
      <c r="B8" s="883" t="s">
        <v>3546</v>
      </c>
      <c r="C8" s="883"/>
      <c r="D8" s="883"/>
      <c r="E8" s="899"/>
      <c r="F8" s="900">
        <f>+'10.24-Grants Receivable'!F27</f>
        <v>187000</v>
      </c>
      <c r="G8" s="900">
        <f>+'10.24-Grants Receivable'!G27</f>
        <v>246341.39</v>
      </c>
      <c r="H8" s="900">
        <f>+'10.24-Grants Receivable'!H27</f>
        <v>338323.35000000003</v>
      </c>
      <c r="I8" s="900">
        <f>+'10.24-Grants Receivable'!I27</f>
        <v>3229.96</v>
      </c>
      <c r="J8" s="900">
        <f>+'10.24-Grants Receivable'!J27</f>
        <v>0</v>
      </c>
      <c r="K8" s="901">
        <f>+'10.24-Grants Receivable'!K27</f>
        <v>98248</v>
      </c>
    </row>
    <row r="9" spans="1:14" ht="21" customHeight="1">
      <c r="B9" s="566"/>
      <c r="C9" s="566"/>
      <c r="D9" s="566"/>
      <c r="E9" s="572"/>
      <c r="F9" s="374"/>
      <c r="G9" s="374"/>
      <c r="H9" s="374"/>
      <c r="I9" s="374"/>
      <c r="J9" s="374"/>
      <c r="K9" s="844">
        <f t="shared" ref="K9:K26" si="0">+F9+G9-H9+I9-J9</f>
        <v>0</v>
      </c>
      <c r="L9" s="325"/>
    </row>
    <row r="10" spans="1:14" ht="21" customHeight="1">
      <c r="B10" s="566"/>
      <c r="C10" s="566"/>
      <c r="D10" s="566"/>
      <c r="E10" s="572"/>
      <c r="F10" s="374"/>
      <c r="G10" s="374"/>
      <c r="H10" s="374"/>
      <c r="I10" s="374"/>
      <c r="J10" s="374"/>
      <c r="K10" s="844">
        <f t="shared" si="0"/>
        <v>0</v>
      </c>
      <c r="N10" s="377"/>
    </row>
    <row r="11" spans="1:14" ht="21" customHeight="1">
      <c r="B11" s="566"/>
      <c r="C11" s="566"/>
      <c r="D11" s="566"/>
      <c r="E11" s="572"/>
      <c r="F11" s="374"/>
      <c r="G11" s="374"/>
      <c r="H11" s="374"/>
      <c r="I11" s="374"/>
      <c r="J11" s="374"/>
      <c r="K11" s="844">
        <f t="shared" si="0"/>
        <v>0</v>
      </c>
      <c r="L11" s="325"/>
    </row>
    <row r="12" spans="1:14" ht="21" customHeight="1">
      <c r="B12" s="566"/>
      <c r="C12" s="576"/>
      <c r="D12" s="566"/>
      <c r="E12" s="572"/>
      <c r="F12" s="374"/>
      <c r="G12" s="374"/>
      <c r="H12" s="374"/>
      <c r="I12" s="374"/>
      <c r="J12" s="374"/>
      <c r="K12" s="844">
        <f t="shared" si="0"/>
        <v>0</v>
      </c>
    </row>
    <row r="13" spans="1:14" ht="21" customHeight="1">
      <c r="B13" s="566"/>
      <c r="C13" s="576"/>
      <c r="D13" s="566"/>
      <c r="E13" s="572"/>
      <c r="F13" s="374"/>
      <c r="G13" s="374"/>
      <c r="H13" s="374"/>
      <c r="I13" s="374"/>
      <c r="J13" s="374"/>
      <c r="K13" s="844">
        <f t="shared" si="0"/>
        <v>0</v>
      </c>
    </row>
    <row r="14" spans="1:14" ht="21" customHeight="1">
      <c r="B14" s="566"/>
      <c r="C14" s="566"/>
      <c r="D14" s="566"/>
      <c r="E14" s="572"/>
      <c r="F14" s="374"/>
      <c r="G14" s="374"/>
      <c r="H14" s="374"/>
      <c r="I14" s="374"/>
      <c r="J14" s="374"/>
      <c r="K14" s="844">
        <f t="shared" si="0"/>
        <v>0</v>
      </c>
    </row>
    <row r="15" spans="1:14" ht="21" customHeight="1">
      <c r="A15" s="1577" t="s">
        <v>3662</v>
      </c>
      <c r="B15" s="566"/>
      <c r="C15" s="567"/>
      <c r="D15" s="566"/>
      <c r="E15" s="572"/>
      <c r="F15" s="374"/>
      <c r="G15" s="374"/>
      <c r="H15" s="374"/>
      <c r="I15" s="374"/>
      <c r="J15" s="374"/>
      <c r="K15" s="844">
        <f t="shared" si="0"/>
        <v>0</v>
      </c>
    </row>
    <row r="16" spans="1:14" ht="21" customHeight="1">
      <c r="A16" s="1577"/>
      <c r="B16" s="566"/>
      <c r="C16" s="567"/>
      <c r="D16" s="566"/>
      <c r="E16" s="572"/>
      <c r="F16" s="374"/>
      <c r="G16" s="374"/>
      <c r="H16" s="374"/>
      <c r="I16" s="374"/>
      <c r="J16" s="374"/>
      <c r="K16" s="844">
        <f t="shared" si="0"/>
        <v>0</v>
      </c>
    </row>
    <row r="17" spans="1:12" ht="21" customHeight="1">
      <c r="A17" s="1577"/>
      <c r="B17" s="566"/>
      <c r="C17" s="567"/>
      <c r="D17" s="566"/>
      <c r="E17" s="572"/>
      <c r="F17" s="374"/>
      <c r="G17" s="374"/>
      <c r="H17" s="374"/>
      <c r="I17" s="374"/>
      <c r="J17" s="374"/>
      <c r="K17" s="844">
        <f t="shared" si="0"/>
        <v>0</v>
      </c>
    </row>
    <row r="18" spans="1:12" ht="21" customHeight="1">
      <c r="B18" s="566"/>
      <c r="C18" s="567"/>
      <c r="D18" s="566"/>
      <c r="E18" s="572"/>
      <c r="F18" s="374"/>
      <c r="G18" s="374"/>
      <c r="H18" s="374"/>
      <c r="I18" s="374"/>
      <c r="J18" s="374"/>
      <c r="K18" s="844">
        <f t="shared" si="0"/>
        <v>0</v>
      </c>
    </row>
    <row r="19" spans="1:12" ht="21" customHeight="1">
      <c r="B19" s="566"/>
      <c r="C19" s="567"/>
      <c r="D19" s="566"/>
      <c r="E19" s="572"/>
      <c r="F19" s="374"/>
      <c r="G19" s="374"/>
      <c r="H19" s="374"/>
      <c r="I19" s="374"/>
      <c r="J19" s="374"/>
      <c r="K19" s="844">
        <f t="shared" si="0"/>
        <v>0</v>
      </c>
    </row>
    <row r="20" spans="1:12" ht="21" customHeight="1">
      <c r="B20" s="566"/>
      <c r="C20" s="566"/>
      <c r="D20" s="566"/>
      <c r="E20" s="572"/>
      <c r="F20" s="374"/>
      <c r="G20" s="374"/>
      <c r="H20" s="374"/>
      <c r="I20" s="374"/>
      <c r="J20" s="374"/>
      <c r="K20" s="844">
        <f t="shared" si="0"/>
        <v>0</v>
      </c>
    </row>
    <row r="21" spans="1:12" ht="21" customHeight="1">
      <c r="B21" s="566"/>
      <c r="C21" s="566"/>
      <c r="D21" s="566"/>
      <c r="E21" s="572"/>
      <c r="F21" s="374"/>
      <c r="G21" s="374"/>
      <c r="H21" s="374"/>
      <c r="I21" s="374"/>
      <c r="J21" s="374"/>
      <c r="K21" s="844">
        <f t="shared" si="0"/>
        <v>0</v>
      </c>
    </row>
    <row r="22" spans="1:12" ht="21" customHeight="1">
      <c r="B22" s="566"/>
      <c r="C22" s="566"/>
      <c r="D22" s="566"/>
      <c r="E22" s="572"/>
      <c r="F22" s="374"/>
      <c r="G22" s="374"/>
      <c r="H22" s="374"/>
      <c r="I22" s="374"/>
      <c r="J22" s="374"/>
      <c r="K22" s="844">
        <f t="shared" si="0"/>
        <v>0</v>
      </c>
    </row>
    <row r="23" spans="1:12" ht="21" customHeight="1">
      <c r="B23" s="566"/>
      <c r="C23" s="566"/>
      <c r="D23" s="566"/>
      <c r="E23" s="572"/>
      <c r="F23" s="374"/>
      <c r="G23" s="374"/>
      <c r="H23" s="374"/>
      <c r="I23" s="374"/>
      <c r="J23" s="374"/>
      <c r="K23" s="844">
        <f t="shared" si="0"/>
        <v>0</v>
      </c>
    </row>
    <row r="24" spans="1:12" ht="21" customHeight="1">
      <c r="B24" s="566"/>
      <c r="C24" s="566"/>
      <c r="D24" s="566"/>
      <c r="E24" s="572"/>
      <c r="F24" s="374"/>
      <c r="G24" s="374"/>
      <c r="H24" s="374"/>
      <c r="I24" s="374"/>
      <c r="J24" s="374"/>
      <c r="K24" s="844">
        <f t="shared" si="0"/>
        <v>0</v>
      </c>
    </row>
    <row r="25" spans="1:12" ht="21" customHeight="1">
      <c r="B25" s="566"/>
      <c r="C25" s="566"/>
      <c r="D25" s="566"/>
      <c r="E25" s="572"/>
      <c r="F25" s="374"/>
      <c r="G25" s="374"/>
      <c r="H25" s="374"/>
      <c r="I25" s="374"/>
      <c r="J25" s="374"/>
      <c r="K25" s="844">
        <f t="shared" si="0"/>
        <v>0</v>
      </c>
    </row>
    <row r="26" spans="1:12" ht="21" customHeight="1">
      <c r="B26" s="566"/>
      <c r="C26" s="566"/>
      <c r="D26" s="566"/>
      <c r="E26" s="572"/>
      <c r="F26" s="374"/>
      <c r="G26" s="374"/>
      <c r="H26" s="374"/>
      <c r="I26" s="374"/>
      <c r="J26" s="374"/>
      <c r="K26" s="844">
        <f t="shared" si="0"/>
        <v>0</v>
      </c>
    </row>
    <row r="27" spans="1:12" ht="21" customHeight="1" thickBot="1">
      <c r="B27" s="27"/>
      <c r="C27" s="328" t="s">
        <v>3571</v>
      </c>
      <c r="D27" s="27"/>
      <c r="E27" s="41"/>
      <c r="F27" s="99">
        <f t="shared" ref="F27:K27" si="1">SUM(F8:F26)</f>
        <v>187000</v>
      </c>
      <c r="G27" s="99">
        <f t="shared" si="1"/>
        <v>246341.39</v>
      </c>
      <c r="H27" s="99">
        <f t="shared" si="1"/>
        <v>338323.35000000003</v>
      </c>
      <c r="I27" s="99">
        <f t="shared" si="1"/>
        <v>3229.96</v>
      </c>
      <c r="J27" s="99">
        <f t="shared" si="1"/>
        <v>0</v>
      </c>
      <c r="K27" s="862">
        <f t="shared" si="1"/>
        <v>98248</v>
      </c>
    </row>
    <row r="28" spans="1:12" ht="13.8" thickTop="1"/>
    <row r="29" spans="1:12">
      <c r="K29" s="325"/>
    </row>
    <row r="30" spans="1:12">
      <c r="F30" s="325"/>
      <c r="G30" s="325"/>
      <c r="K30" s="325"/>
      <c r="L30" s="325"/>
    </row>
    <row r="31" spans="1:12">
      <c r="K31" s="325"/>
    </row>
    <row r="32" spans="1:12">
      <c r="G32" s="325"/>
    </row>
  </sheetData>
  <sheetProtection algorithmName="SHA-512" hashValue="cfWM1T+KxIox84ZnJJaetb9QwTBLDhoN3IGBglfS4XqM0fIJ6wAl63F8sxxGnq+7BGH8/m/MPd6Pnmc1Xj2BOg==" saltValue="MOeR7+86lo0zpRt5BfJH7g==" spinCount="100000" sheet="1" objects="1" scenarios="1"/>
  <customSheetViews>
    <customSheetView guid="{AC653BD0-46E3-42CB-9C76-32121A57B65A}">
      <selection activeCell="B1" sqref="B1"/>
      <pageMargins left="0.25" right="0.25" top="0.5" bottom="0.5" header="0.25" footer="0.25"/>
      <pageSetup paperSize="5" orientation="landscape" r:id="rId1"/>
      <headerFooter alignWithMargins="0"/>
    </customSheetView>
    <customSheetView guid="{B165479B-DC25-403C-9595-F1A88A4AA9A2}">
      <selection activeCell="B1" sqref="B1"/>
      <pageMargins left="0.25" right="0.25" top="0.5" bottom="0.5" header="0.25" footer="0.25"/>
      <pageSetup paperSize="5" orientation="landscape" r:id="rId2"/>
      <headerFooter alignWithMargins="0"/>
    </customSheetView>
    <customSheetView guid="{A64E4C9E-A3DA-4AAA-8607-F524450B9436}">
      <selection activeCell="B1" sqref="B1"/>
      <pageMargins left="0.25" right="0.25" top="0.5" bottom="0.5" header="0.25" footer="0.25"/>
      <pageSetup paperSize="5" orientation="landscape" r:id="rId3"/>
      <headerFooter alignWithMargins="0"/>
    </customSheetView>
    <customSheetView guid="{AB4FBD91-4533-473A-9702-569FF6402073}">
      <selection activeCell="B1" sqref="B1"/>
      <pageMargins left="0.25" right="0.25" top="0.5" bottom="0.5" header="0.25" footer="0.25"/>
      <pageSetup paperSize="5" orientation="landscape" r:id="rId4"/>
      <headerFooter alignWithMargins="0"/>
    </customSheetView>
  </customSheetViews>
  <mergeCells count="4">
    <mergeCell ref="B2:K2"/>
    <mergeCell ref="B3:K3"/>
    <mergeCell ref="B5:E5"/>
    <mergeCell ref="A15:A17"/>
  </mergeCells>
  <pageMargins left="0.25" right="0.25" top="0.5" bottom="0.5" header="0.25" footer="0.25"/>
  <pageSetup paperSize="5" scale="69" orientation="portrait" r:id="rId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O34"/>
  <sheetViews>
    <sheetView zoomScaleNormal="100" workbookViewId="0">
      <selection activeCell="L28" sqref="A1:L28"/>
    </sheetView>
  </sheetViews>
  <sheetFormatPr defaultRowHeight="13.2"/>
  <cols>
    <col min="1" max="1" width="5.6640625" customWidth="1"/>
    <col min="2" max="2" width="4.109375" customWidth="1"/>
    <col min="3" max="4" width="4.88671875" customWidth="1"/>
    <col min="5" max="5" width="43.44140625" customWidth="1"/>
    <col min="6" max="10" width="15.6640625" customWidth="1"/>
    <col min="11" max="11" width="15.5546875" customWidth="1"/>
    <col min="12" max="12" width="15.6640625" style="246" customWidth="1"/>
    <col min="13" max="13" width="10.88671875" bestFit="1" customWidth="1"/>
  </cols>
  <sheetData>
    <row r="1" spans="1:15">
      <c r="B1" s="322"/>
      <c r="C1" s="322"/>
      <c r="D1" s="322"/>
      <c r="E1" s="322"/>
      <c r="F1" s="322"/>
      <c r="G1" s="322"/>
      <c r="H1" s="322"/>
      <c r="I1" s="322"/>
      <c r="J1" s="322"/>
      <c r="K1" s="322"/>
      <c r="L1" s="277"/>
    </row>
    <row r="2" spans="1:15" ht="20.399999999999999">
      <c r="B2" s="1508" t="s">
        <v>303</v>
      </c>
      <c r="C2" s="1508"/>
      <c r="D2" s="1508"/>
      <c r="E2" s="1508"/>
      <c r="F2" s="1508"/>
      <c r="G2" s="1508"/>
      <c r="H2" s="1508"/>
      <c r="I2" s="1508"/>
      <c r="J2" s="1508"/>
      <c r="K2" s="1508"/>
      <c r="L2" s="1508"/>
    </row>
    <row r="3" spans="1:15" ht="21" thickBot="1">
      <c r="B3" s="1508" t="s">
        <v>135</v>
      </c>
      <c r="C3" s="1508"/>
      <c r="D3" s="1508"/>
      <c r="E3" s="1508"/>
      <c r="F3" s="1508"/>
      <c r="G3" s="1508"/>
      <c r="H3" s="1508"/>
      <c r="I3" s="1508"/>
      <c r="J3" s="1508"/>
      <c r="K3" s="1508"/>
      <c r="L3" s="1508"/>
    </row>
    <row r="4" spans="1:15" ht="13.8" thickTop="1">
      <c r="B4" s="11"/>
      <c r="C4" s="11"/>
      <c r="D4" s="11"/>
      <c r="E4" s="11"/>
      <c r="F4" s="12"/>
      <c r="G4" s="1600" t="str">
        <f>"Transferred from "&amp;TEXT('KEY INPUTS'!D34,"0")</f>
        <v>Transferred from 2019</v>
      </c>
      <c r="H4" s="1601"/>
      <c r="I4" s="12"/>
      <c r="J4" s="6"/>
      <c r="K4" s="11"/>
      <c r="L4" s="265"/>
    </row>
    <row r="5" spans="1:15">
      <c r="B5" s="1546" t="s">
        <v>804</v>
      </c>
      <c r="C5" s="1546"/>
      <c r="D5" s="1546"/>
      <c r="E5" s="1595"/>
      <c r="F5" s="282" t="s">
        <v>671</v>
      </c>
      <c r="G5" s="1602" t="s">
        <v>301</v>
      </c>
      <c r="H5" s="1603"/>
      <c r="I5" s="282" t="s">
        <v>302</v>
      </c>
      <c r="J5" s="788" t="s">
        <v>280</v>
      </c>
      <c r="K5" s="991" t="s">
        <v>566</v>
      </c>
      <c r="L5" s="266" t="s">
        <v>671</v>
      </c>
    </row>
    <row r="6" spans="1:15">
      <c r="B6" s="322"/>
      <c r="C6" s="322"/>
      <c r="D6" s="322"/>
      <c r="E6" s="322"/>
      <c r="F6" s="299" t="str">
        <f>'KEY INPUTS'!D47</f>
        <v>Jan. 1, 2019</v>
      </c>
      <c r="G6" s="282" t="s">
        <v>676</v>
      </c>
      <c r="H6" s="282" t="s">
        <v>299</v>
      </c>
      <c r="I6" s="282"/>
      <c r="J6" s="282"/>
      <c r="K6" s="997"/>
      <c r="L6" s="300" t="str">
        <f>'KEY INPUTS'!D46</f>
        <v>Dec. 31, 2019</v>
      </c>
    </row>
    <row r="7" spans="1:15" ht="13.8" thickBot="1">
      <c r="B7" s="10"/>
      <c r="C7" s="10"/>
      <c r="D7" s="10"/>
      <c r="E7" s="10"/>
      <c r="F7" s="14"/>
      <c r="G7" s="16"/>
      <c r="H7" s="16" t="s">
        <v>300</v>
      </c>
      <c r="I7" s="14"/>
      <c r="J7" s="16"/>
      <c r="K7" s="17"/>
      <c r="L7" s="267"/>
    </row>
    <row r="8" spans="1:15" ht="21" customHeight="1" thickTop="1">
      <c r="B8" s="1492" t="s">
        <v>3852</v>
      </c>
      <c r="C8" s="1492"/>
      <c r="D8" s="1492"/>
      <c r="E8" s="1493"/>
      <c r="F8" s="575"/>
      <c r="G8" s="575"/>
      <c r="H8" s="575"/>
      <c r="I8" s="575"/>
      <c r="J8" s="575"/>
      <c r="K8" s="575"/>
      <c r="L8" s="320">
        <f>+F8+G8+H8-I8+J8-K8</f>
        <v>0</v>
      </c>
      <c r="M8" s="710"/>
    </row>
    <row r="9" spans="1:15" ht="21" customHeight="1">
      <c r="B9" s="1604"/>
      <c r="C9" s="1604"/>
      <c r="D9" s="1604"/>
      <c r="E9" s="1605"/>
      <c r="F9" s="575">
        <v>2058.96</v>
      </c>
      <c r="G9" s="575"/>
      <c r="H9" s="575"/>
      <c r="I9" s="575">
        <v>1321.7</v>
      </c>
      <c r="J9" s="575"/>
      <c r="K9" s="575"/>
      <c r="L9" s="320">
        <f t="shared" ref="L9:L26" si="0">+F9+G9+H9-I9+J9-K9</f>
        <v>737.26</v>
      </c>
      <c r="M9" s="712"/>
    </row>
    <row r="10" spans="1:15" ht="21" customHeight="1">
      <c r="B10" s="1604" t="s">
        <v>3853</v>
      </c>
      <c r="C10" s="1604"/>
      <c r="D10" s="1604"/>
      <c r="E10" s="1605"/>
      <c r="F10" s="575"/>
      <c r="G10" s="575"/>
      <c r="H10" s="575"/>
      <c r="I10" s="575"/>
      <c r="J10" s="575"/>
      <c r="K10" s="575"/>
      <c r="L10" s="320">
        <f t="shared" si="0"/>
        <v>0</v>
      </c>
      <c r="M10" s="325"/>
    </row>
    <row r="11" spans="1:15" s="322" customFormat="1" ht="21" customHeight="1">
      <c r="B11" s="1604" t="s">
        <v>3842</v>
      </c>
      <c r="C11" s="1604"/>
      <c r="D11" s="1604"/>
      <c r="E11" s="1605"/>
      <c r="F11" s="575">
        <v>0</v>
      </c>
      <c r="G11" s="575"/>
      <c r="H11" s="575"/>
      <c r="I11" s="575"/>
      <c r="J11" s="575"/>
      <c r="K11" s="575"/>
      <c r="L11" s="320">
        <f t="shared" si="0"/>
        <v>0</v>
      </c>
      <c r="M11" s="325"/>
      <c r="O11" s="377"/>
    </row>
    <row r="12" spans="1:15" ht="21" customHeight="1">
      <c r="B12" s="1604" t="s">
        <v>3843</v>
      </c>
      <c r="C12" s="1604"/>
      <c r="D12" s="1604"/>
      <c r="E12" s="1605"/>
      <c r="F12" s="575">
        <v>214000</v>
      </c>
      <c r="G12" s="575"/>
      <c r="H12" s="575"/>
      <c r="I12" s="575"/>
      <c r="J12" s="575"/>
      <c r="K12" s="575"/>
      <c r="L12" s="320">
        <f t="shared" si="0"/>
        <v>214000</v>
      </c>
      <c r="M12" s="325"/>
    </row>
    <row r="13" spans="1:15" ht="21" customHeight="1">
      <c r="B13" s="1604" t="s">
        <v>3406</v>
      </c>
      <c r="C13" s="1604"/>
      <c r="D13" s="1604"/>
      <c r="E13" s="1605"/>
      <c r="F13" s="575"/>
      <c r="G13" s="575"/>
      <c r="H13" s="575"/>
      <c r="I13" s="575"/>
      <c r="J13" s="575"/>
      <c r="K13" s="575"/>
      <c r="L13" s="320">
        <f t="shared" si="0"/>
        <v>0</v>
      </c>
      <c r="M13" s="325"/>
    </row>
    <row r="14" spans="1:15" s="322" customFormat="1" ht="21" customHeight="1">
      <c r="B14" s="1604" t="s">
        <v>3406</v>
      </c>
      <c r="C14" s="1604"/>
      <c r="D14" s="1604"/>
      <c r="E14" s="1605"/>
      <c r="F14" s="575">
        <v>0</v>
      </c>
      <c r="G14" s="575"/>
      <c r="H14" s="575"/>
      <c r="I14" s="575"/>
      <c r="J14" s="575"/>
      <c r="K14" s="575"/>
      <c r="L14" s="320">
        <f t="shared" si="0"/>
        <v>0</v>
      </c>
      <c r="M14" s="325"/>
    </row>
    <row r="15" spans="1:15" ht="21" customHeight="1">
      <c r="A15" s="1577" t="s">
        <v>298</v>
      </c>
      <c r="B15" s="1604" t="s">
        <v>3406</v>
      </c>
      <c r="C15" s="1604"/>
      <c r="D15" s="1604"/>
      <c r="E15" s="1605"/>
      <c r="F15" s="575">
        <v>0</v>
      </c>
      <c r="G15" s="575"/>
      <c r="H15" s="575"/>
      <c r="I15" s="575"/>
      <c r="J15" s="575"/>
      <c r="K15" s="575"/>
      <c r="L15" s="320">
        <f t="shared" si="0"/>
        <v>0</v>
      </c>
      <c r="M15" s="325"/>
    </row>
    <row r="16" spans="1:15" ht="21" customHeight="1">
      <c r="A16" s="1577"/>
      <c r="B16" s="1604" t="s">
        <v>3406</v>
      </c>
      <c r="C16" s="1604"/>
      <c r="D16" s="1604"/>
      <c r="E16" s="1605"/>
      <c r="F16" s="575">
        <v>0</v>
      </c>
      <c r="G16" s="575"/>
      <c r="H16" s="575"/>
      <c r="I16" s="575"/>
      <c r="J16" s="575"/>
      <c r="K16" s="575"/>
      <c r="L16" s="320">
        <f t="shared" si="0"/>
        <v>0</v>
      </c>
      <c r="M16" s="325"/>
    </row>
    <row r="17" spans="1:13" ht="21" customHeight="1">
      <c r="B17" s="1604" t="s">
        <v>3406</v>
      </c>
      <c r="C17" s="1604"/>
      <c r="D17" s="1604"/>
      <c r="E17" s="1605"/>
      <c r="F17" s="575">
        <v>0</v>
      </c>
      <c r="G17" s="575"/>
      <c r="H17" s="575"/>
      <c r="I17" s="575"/>
      <c r="J17" s="575"/>
      <c r="K17" s="575"/>
      <c r="L17" s="320">
        <f t="shared" si="0"/>
        <v>0</v>
      </c>
      <c r="M17" s="325"/>
    </row>
    <row r="18" spans="1:13" ht="21" customHeight="1">
      <c r="A18" s="329"/>
      <c r="B18" s="1604" t="s">
        <v>3406</v>
      </c>
      <c r="C18" s="1604"/>
      <c r="D18" s="1604"/>
      <c r="E18" s="1605"/>
      <c r="F18" s="575">
        <v>0</v>
      </c>
      <c r="G18" s="575"/>
      <c r="H18" s="575"/>
      <c r="I18" s="575"/>
      <c r="J18" s="575"/>
      <c r="K18" s="575"/>
      <c r="L18" s="320">
        <f t="shared" si="0"/>
        <v>0</v>
      </c>
      <c r="M18" s="325"/>
    </row>
    <row r="19" spans="1:13" ht="21" customHeight="1">
      <c r="A19" s="329"/>
      <c r="B19" s="1604" t="s">
        <v>3960</v>
      </c>
      <c r="C19" s="1604"/>
      <c r="D19" s="1604"/>
      <c r="E19" s="1605"/>
      <c r="F19" s="575">
        <v>0</v>
      </c>
      <c r="G19" s="575"/>
      <c r="H19" s="575"/>
      <c r="I19" s="575"/>
      <c r="J19" s="575"/>
      <c r="K19" s="575"/>
      <c r="L19" s="320">
        <f t="shared" si="0"/>
        <v>0</v>
      </c>
      <c r="M19" s="325"/>
    </row>
    <row r="20" spans="1:13" ht="21" customHeight="1">
      <c r="B20" s="1604" t="s">
        <v>3406</v>
      </c>
      <c r="C20" s="1604"/>
      <c r="D20" s="1604"/>
      <c r="E20" s="1605"/>
      <c r="F20" s="575">
        <v>0</v>
      </c>
      <c r="G20" s="575"/>
      <c r="H20" s="575"/>
      <c r="I20" s="575"/>
      <c r="J20" s="575"/>
      <c r="K20" s="575"/>
      <c r="L20" s="320">
        <f t="shared" si="0"/>
        <v>0</v>
      </c>
      <c r="M20" s="325"/>
    </row>
    <row r="21" spans="1:13" ht="21" customHeight="1">
      <c r="B21" s="1604" t="s">
        <v>3406</v>
      </c>
      <c r="C21" s="1604"/>
      <c r="D21" s="1604"/>
      <c r="E21" s="1605"/>
      <c r="F21" s="575">
        <v>0</v>
      </c>
      <c r="G21" s="575"/>
      <c r="H21" s="575"/>
      <c r="I21" s="575"/>
      <c r="J21" s="575"/>
      <c r="K21" s="575"/>
      <c r="L21" s="320">
        <f t="shared" si="0"/>
        <v>0</v>
      </c>
      <c r="M21" s="325"/>
    </row>
    <row r="22" spans="1:13" ht="21" customHeight="1">
      <c r="B22" s="1604" t="s">
        <v>3406</v>
      </c>
      <c r="C22" s="1604"/>
      <c r="D22" s="1604"/>
      <c r="E22" s="1605"/>
      <c r="F22" s="575">
        <v>0</v>
      </c>
      <c r="G22" s="575"/>
      <c r="H22" s="575"/>
      <c r="I22" s="575"/>
      <c r="J22" s="575"/>
      <c r="K22" s="575"/>
      <c r="L22" s="320">
        <f t="shared" si="0"/>
        <v>0</v>
      </c>
      <c r="M22" s="325"/>
    </row>
    <row r="23" spans="1:13" ht="21" customHeight="1">
      <c r="B23" s="1604" t="s">
        <v>3406</v>
      </c>
      <c r="C23" s="1604"/>
      <c r="D23" s="1604"/>
      <c r="E23" s="1605"/>
      <c r="F23" s="575">
        <v>0</v>
      </c>
      <c r="G23" s="575"/>
      <c r="H23" s="575"/>
      <c r="I23" s="575"/>
      <c r="J23" s="575"/>
      <c r="K23" s="575"/>
      <c r="L23" s="320">
        <f t="shared" si="0"/>
        <v>0</v>
      </c>
      <c r="M23" s="325"/>
    </row>
    <row r="24" spans="1:13" ht="21" customHeight="1">
      <c r="B24" s="1604" t="s">
        <v>3406</v>
      </c>
      <c r="C24" s="1604"/>
      <c r="D24" s="1604"/>
      <c r="E24" s="1605"/>
      <c r="F24" s="575">
        <v>0</v>
      </c>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216058.96</v>
      </c>
      <c r="G27" s="332">
        <f>SUM(G8:G26)</f>
        <v>0</v>
      </c>
      <c r="H27" s="332">
        <f t="shared" si="1"/>
        <v>0</v>
      </c>
      <c r="I27" s="332">
        <f t="shared" si="1"/>
        <v>1321.7</v>
      </c>
      <c r="J27" s="332">
        <f t="shared" si="1"/>
        <v>0</v>
      </c>
      <c r="K27" s="332">
        <f t="shared" si="1"/>
        <v>0</v>
      </c>
      <c r="L27" s="317">
        <f>SUM(L8:L26)</f>
        <v>214737.26</v>
      </c>
    </row>
    <row r="28" spans="1:13" ht="13.8" thickTop="1"/>
    <row r="31" spans="1:13">
      <c r="F31" s="325"/>
      <c r="L31" s="256"/>
    </row>
    <row r="33" spans="7:12">
      <c r="G33" s="228"/>
      <c r="L33" s="327"/>
    </row>
    <row r="34" spans="7:12">
      <c r="G34" s="228"/>
    </row>
  </sheetData>
  <sheetProtection algorithmName="SHA-512" hashValue="NaLCGgZA6+/dd5BmrBTD50tSxq3qMoaupcwMK+YZerLL8Ziu1G8OC3hNdgvzkvJOsXUgC2GUcp7ixzvlSnpM6Q==" saltValue="f0A7adiFN8E40Z9ZiVnvIg==" spinCount="100000" sheet="1" objects="1" scenarios="1"/>
  <customSheetViews>
    <customSheetView guid="{AC653BD0-46E3-42CB-9C76-32121A57B65A}">
      <selection activeCell="B1" sqref="B1"/>
      <pageMargins left="0.25" right="0.25" top="0.5" bottom="0.5" header="0.25" footer="0.25"/>
      <pageSetup paperSize="5" scale="99" orientation="landscape" r:id="rId1"/>
      <headerFooter alignWithMargins="0"/>
    </customSheetView>
    <customSheetView guid="{B165479B-DC25-403C-9595-F1A88A4AA9A2}" topLeftCell="A8">
      <selection activeCell="N24" sqref="N24"/>
      <pageMargins left="0.25" right="0.25" top="0.5" bottom="0.5" header="0.25" footer="0.25"/>
      <pageSetup paperSize="5" scale="99" orientation="landscape" r:id="rId2"/>
      <headerFooter alignWithMargins="0"/>
    </customSheetView>
    <customSheetView guid="{A64E4C9E-A3DA-4AAA-8607-F524450B9436}" topLeftCell="A8">
      <selection activeCell="N24" sqref="N24"/>
      <pageMargins left="0.25" right="0.25" top="0.5" bottom="0.5" header="0.25" footer="0.25"/>
      <pageSetup paperSize="5" scale="99" orientation="landscape" r:id="rId3"/>
      <headerFooter alignWithMargins="0"/>
    </customSheetView>
    <customSheetView guid="{AB4FBD91-4533-473A-9702-569FF6402073}" topLeftCell="A8">
      <selection activeCell="N24" sqref="N24"/>
      <pageMargins left="0.25" right="0.25" top="0.5" bottom="0.5" header="0.25" footer="0.25"/>
      <pageSetup paperSize="5" scale="99" orientation="landscape" r:id="rId4"/>
      <headerFooter alignWithMargins="0"/>
    </customSheetView>
  </customSheetViews>
  <mergeCells count="24">
    <mergeCell ref="B17:E17"/>
    <mergeCell ref="B18:E18"/>
    <mergeCell ref="B19:E19"/>
    <mergeCell ref="B20:E20"/>
    <mergeCell ref="B26:E26"/>
    <mergeCell ref="B21:E21"/>
    <mergeCell ref="B22:E22"/>
    <mergeCell ref="B23:E23"/>
    <mergeCell ref="B24:E24"/>
    <mergeCell ref="B25:E25"/>
    <mergeCell ref="A15:A16"/>
    <mergeCell ref="B2:L2"/>
    <mergeCell ref="B3:L3"/>
    <mergeCell ref="B5:E5"/>
    <mergeCell ref="G4:H4"/>
    <mergeCell ref="G5:H5"/>
    <mergeCell ref="B9:E9"/>
    <mergeCell ref="B10:E10"/>
    <mergeCell ref="B11:E11"/>
    <mergeCell ref="B12:E12"/>
    <mergeCell ref="B13:E13"/>
    <mergeCell ref="B14:E14"/>
    <mergeCell ref="B15:E15"/>
    <mergeCell ref="B16:E16"/>
  </mergeCells>
  <phoneticPr fontId="0" type="noConversion"/>
  <pageMargins left="0.25" right="0.25" top="0.5" bottom="0.5" header="0.25" footer="0.25"/>
  <pageSetup paperSize="5" orientation="landscape" r:id="rId5"/>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O34"/>
  <sheetViews>
    <sheetView zoomScaleNormal="100" workbookViewId="0">
      <selection activeCell="L28" sqref="A1:L28"/>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 Grants Approp Rsrv'!F27</f>
        <v>216058.96</v>
      </c>
      <c r="G8" s="1029">
        <f>+'11 Grants Approp Rsrv'!G27</f>
        <v>0</v>
      </c>
      <c r="H8" s="1029">
        <f>+'11 Grants Approp Rsrv'!H27</f>
        <v>0</v>
      </c>
      <c r="I8" s="1029">
        <f>+'11 Grants Approp Rsrv'!I27</f>
        <v>1321.7</v>
      </c>
      <c r="J8" s="1029">
        <f>+'11 Grants Approp Rsrv'!J27</f>
        <v>0</v>
      </c>
      <c r="K8" s="1029">
        <f>+'11 Grants Approp Rsrv'!K27</f>
        <v>0</v>
      </c>
      <c r="L8" s="1030">
        <f>+'11 Grants Approp Rsrv'!L27</f>
        <v>214737.26</v>
      </c>
      <c r="M8" s="710"/>
    </row>
    <row r="9" spans="1:15" ht="21" customHeight="1">
      <c r="B9" s="1492" t="s">
        <v>3854</v>
      </c>
      <c r="C9" s="1492"/>
      <c r="D9" s="1492"/>
      <c r="E9" s="1493"/>
      <c r="F9" s="372"/>
      <c r="G9" s="372"/>
      <c r="H9" s="372"/>
      <c r="I9" s="372"/>
      <c r="J9" s="372"/>
      <c r="K9" s="372"/>
      <c r="L9" s="320">
        <f t="shared" ref="L9:L26" si="0">+F9+G9+H9-I9+J9-K9</f>
        <v>0</v>
      </c>
      <c r="M9" s="712"/>
    </row>
    <row r="10" spans="1:15" ht="21" customHeight="1">
      <c r="B10" s="1492" t="s">
        <v>3842</v>
      </c>
      <c r="C10" s="1492"/>
      <c r="D10" s="1492"/>
      <c r="E10" s="1492"/>
      <c r="F10" s="372">
        <v>0</v>
      </c>
      <c r="G10" s="372">
        <v>60000</v>
      </c>
      <c r="H10" s="372"/>
      <c r="I10" s="372"/>
      <c r="J10" s="372"/>
      <c r="K10" s="372"/>
      <c r="L10" s="320">
        <f t="shared" si="0"/>
        <v>60000</v>
      </c>
      <c r="M10" s="325"/>
    </row>
    <row r="11" spans="1:15" ht="21" customHeight="1">
      <c r="B11" s="1492" t="s">
        <v>3843</v>
      </c>
      <c r="C11" s="1492"/>
      <c r="D11" s="1492"/>
      <c r="E11" s="1492"/>
      <c r="F11" s="372">
        <v>0</v>
      </c>
      <c r="G11" s="372">
        <v>130000</v>
      </c>
      <c r="H11" s="372"/>
      <c r="I11" s="372">
        <v>130000</v>
      </c>
      <c r="J11" s="372"/>
      <c r="K11" s="372"/>
      <c r="L11" s="320">
        <f t="shared" si="0"/>
        <v>0</v>
      </c>
      <c r="M11" s="325"/>
      <c r="O11" s="377"/>
    </row>
    <row r="12" spans="1:15" ht="21" customHeight="1">
      <c r="B12" s="1610"/>
      <c r="C12" s="1610"/>
      <c r="D12" s="1610"/>
      <c r="E12" s="1611"/>
      <c r="F12" s="372"/>
      <c r="G12" s="372"/>
      <c r="H12" s="372"/>
      <c r="I12" s="372"/>
      <c r="J12" s="372"/>
      <c r="K12" s="372"/>
      <c r="L12" s="320">
        <f t="shared" si="0"/>
        <v>0</v>
      </c>
      <c r="M12" s="325"/>
    </row>
    <row r="13" spans="1:15" ht="21" customHeight="1">
      <c r="B13" s="1492" t="s">
        <v>3855</v>
      </c>
      <c r="C13" s="1492"/>
      <c r="D13" s="1492"/>
      <c r="E13" s="1492"/>
      <c r="F13" s="372">
        <v>1980.3</v>
      </c>
      <c r="G13" s="372"/>
      <c r="H13" s="372"/>
      <c r="I13" s="372">
        <v>1980.3</v>
      </c>
      <c r="J13" s="372"/>
      <c r="K13" s="372"/>
      <c r="L13" s="320">
        <f t="shared" si="0"/>
        <v>0</v>
      </c>
      <c r="M13" s="325"/>
    </row>
    <row r="14" spans="1:15" ht="21" customHeight="1">
      <c r="B14" s="1492"/>
      <c r="C14" s="1492"/>
      <c r="D14" s="1492"/>
      <c r="E14" s="1492"/>
      <c r="F14" s="372"/>
      <c r="G14" s="372"/>
      <c r="H14" s="372"/>
      <c r="I14" s="372"/>
      <c r="J14" s="372"/>
      <c r="K14" s="372"/>
      <c r="L14" s="320">
        <f t="shared" si="0"/>
        <v>0</v>
      </c>
      <c r="M14" s="325"/>
    </row>
    <row r="15" spans="1:15" ht="21" customHeight="1">
      <c r="A15" s="1577" t="s">
        <v>3572</v>
      </c>
      <c r="B15" s="1492" t="s">
        <v>3856</v>
      </c>
      <c r="C15" s="1492"/>
      <c r="D15" s="1492"/>
      <c r="E15" s="1492"/>
      <c r="F15" s="372">
        <v>827.12</v>
      </c>
      <c r="G15" s="372"/>
      <c r="H15" s="372"/>
      <c r="I15" s="372">
        <v>600</v>
      </c>
      <c r="J15" s="372"/>
      <c r="K15" s="372"/>
      <c r="L15" s="320">
        <f t="shared" si="0"/>
        <v>227.12</v>
      </c>
      <c r="M15" s="325"/>
    </row>
    <row r="16" spans="1:15" ht="21" customHeight="1">
      <c r="A16" s="1577"/>
      <c r="B16" s="1492" t="s">
        <v>3857</v>
      </c>
      <c r="C16" s="1492"/>
      <c r="D16" s="1492"/>
      <c r="E16" s="1492"/>
      <c r="F16" s="372">
        <v>1885.86</v>
      </c>
      <c r="G16" s="372"/>
      <c r="H16" s="372"/>
      <c r="I16" s="372"/>
      <c r="J16" s="372"/>
      <c r="K16" s="372"/>
      <c r="L16" s="320">
        <f t="shared" si="0"/>
        <v>1885.86</v>
      </c>
      <c r="M16" s="325"/>
    </row>
    <row r="17" spans="1:13" ht="21" customHeight="1">
      <c r="B17" s="1492" t="s">
        <v>3858</v>
      </c>
      <c r="C17" s="1492"/>
      <c r="D17" s="1492"/>
      <c r="E17" s="1492"/>
      <c r="F17" s="372">
        <v>785.61</v>
      </c>
      <c r="G17" s="372"/>
      <c r="H17" s="372"/>
      <c r="I17" s="372"/>
      <c r="J17" s="372"/>
      <c r="K17" s="372"/>
      <c r="L17" s="320">
        <f t="shared" si="0"/>
        <v>785.61</v>
      </c>
      <c r="M17" s="325"/>
    </row>
    <row r="18" spans="1:13" ht="21" customHeight="1">
      <c r="A18" s="757"/>
      <c r="B18" s="1492" t="s">
        <v>3859</v>
      </c>
      <c r="C18" s="1492"/>
      <c r="D18" s="1492"/>
      <c r="E18" s="1492"/>
      <c r="F18" s="372">
        <v>1093.78</v>
      </c>
      <c r="G18" s="372"/>
      <c r="H18" s="372"/>
      <c r="I18" s="372"/>
      <c r="J18" s="372"/>
      <c r="K18" s="372"/>
      <c r="L18" s="320">
        <f t="shared" si="0"/>
        <v>1093.78</v>
      </c>
      <c r="M18" s="325"/>
    </row>
    <row r="19" spans="1:13" ht="21" customHeight="1">
      <c r="A19" s="757"/>
      <c r="B19" s="1492" t="s">
        <v>3860</v>
      </c>
      <c r="C19" s="1492"/>
      <c r="D19" s="1492"/>
      <c r="E19" s="1492"/>
      <c r="F19" s="372">
        <v>878.79</v>
      </c>
      <c r="G19" s="372"/>
      <c r="H19" s="372"/>
      <c r="I19" s="372"/>
      <c r="J19" s="372"/>
      <c r="K19" s="372"/>
      <c r="L19" s="320">
        <f t="shared" si="0"/>
        <v>878.79</v>
      </c>
      <c r="M19" s="325"/>
    </row>
    <row r="20" spans="1:13" ht="21" customHeight="1">
      <c r="B20" s="1492" t="s">
        <v>3861</v>
      </c>
      <c r="C20" s="1492"/>
      <c r="D20" s="1492"/>
      <c r="E20" s="1492"/>
      <c r="F20" s="372">
        <v>4021.41</v>
      </c>
      <c r="G20" s="372"/>
      <c r="H20" s="372"/>
      <c r="I20" s="372"/>
      <c r="J20" s="372"/>
      <c r="K20" s="372"/>
      <c r="L20" s="320">
        <f t="shared" si="0"/>
        <v>4021.41</v>
      </c>
      <c r="M20" s="325"/>
    </row>
    <row r="21" spans="1:13" ht="21" customHeight="1">
      <c r="B21" s="1492" t="s">
        <v>3845</v>
      </c>
      <c r="C21" s="1492"/>
      <c r="D21" s="1492"/>
      <c r="E21" s="1492"/>
      <c r="F21" s="372"/>
      <c r="G21" s="372"/>
      <c r="H21" s="372">
        <v>2009.37</v>
      </c>
      <c r="I21" s="372"/>
      <c r="J21" s="372"/>
      <c r="K21" s="372"/>
      <c r="L21" s="320">
        <f t="shared" si="0"/>
        <v>2009.37</v>
      </c>
      <c r="M21" s="325"/>
    </row>
    <row r="22" spans="1:13" ht="21" customHeight="1">
      <c r="B22" s="1492"/>
      <c r="C22" s="1492"/>
      <c r="D22" s="1492"/>
      <c r="E22" s="1492"/>
      <c r="F22" s="372"/>
      <c r="G22" s="372"/>
      <c r="H22" s="372"/>
      <c r="I22" s="372"/>
      <c r="J22" s="372"/>
      <c r="K22" s="372"/>
      <c r="L22" s="320">
        <f t="shared" si="0"/>
        <v>0</v>
      </c>
      <c r="M22" s="325"/>
    </row>
    <row r="23" spans="1:13" ht="21" customHeight="1">
      <c r="B23" s="1492" t="s">
        <v>3862</v>
      </c>
      <c r="C23" s="1492"/>
      <c r="D23" s="1492"/>
      <c r="E23" s="1492"/>
      <c r="F23" s="372">
        <v>33212.21</v>
      </c>
      <c r="G23" s="372"/>
      <c r="H23" s="372"/>
      <c r="I23" s="372"/>
      <c r="J23" s="372"/>
      <c r="K23" s="372"/>
      <c r="L23" s="320">
        <f t="shared" si="0"/>
        <v>33212.21</v>
      </c>
      <c r="M23" s="325"/>
    </row>
    <row r="24" spans="1:13" ht="21" customHeight="1">
      <c r="B24" s="1492" t="s">
        <v>3863</v>
      </c>
      <c r="C24" s="1492"/>
      <c r="D24" s="1492"/>
      <c r="E24" s="1492"/>
      <c r="F24" s="372">
        <v>14835.44</v>
      </c>
      <c r="G24" s="372"/>
      <c r="H24" s="372"/>
      <c r="I24" s="372"/>
      <c r="J24" s="372"/>
      <c r="K24" s="372"/>
      <c r="L24" s="320">
        <f t="shared" si="0"/>
        <v>14835.44</v>
      </c>
      <c r="M24" s="325"/>
    </row>
    <row r="25" spans="1:13" ht="21" customHeight="1">
      <c r="B25" s="1492" t="s">
        <v>3864</v>
      </c>
      <c r="C25" s="1492"/>
      <c r="D25" s="1492"/>
      <c r="E25" s="1492"/>
      <c r="F25" s="372">
        <v>9190.3799999999992</v>
      </c>
      <c r="G25" s="372"/>
      <c r="H25" s="372"/>
      <c r="I25" s="372">
        <v>8024.95</v>
      </c>
      <c r="J25" s="372"/>
      <c r="K25" s="372"/>
      <c r="L25" s="320">
        <f t="shared" si="0"/>
        <v>1165.4299999999994</v>
      </c>
      <c r="M25" s="325"/>
    </row>
    <row r="26" spans="1:13" ht="21" customHeight="1">
      <c r="B26" s="1492" t="s">
        <v>3846</v>
      </c>
      <c r="C26" s="1492"/>
      <c r="D26" s="1492"/>
      <c r="E26" s="1492"/>
      <c r="F26" s="372">
        <v>0</v>
      </c>
      <c r="G26" s="372"/>
      <c r="H26" s="372">
        <v>15829.63</v>
      </c>
      <c r="I26" s="372"/>
      <c r="J26" s="372"/>
      <c r="K26" s="372"/>
      <c r="L26" s="320">
        <f t="shared" si="0"/>
        <v>15829.63</v>
      </c>
    </row>
    <row r="27" spans="1:13" ht="21" customHeight="1" thickBot="1">
      <c r="B27" s="330"/>
      <c r="C27" s="328" t="s">
        <v>3545</v>
      </c>
      <c r="D27" s="328"/>
      <c r="E27" s="319"/>
      <c r="F27" s="332">
        <f t="shared" ref="F27:K27" si="1">SUM(F8:F26)</f>
        <v>284769.85999999993</v>
      </c>
      <c r="G27" s="332">
        <f>SUM(G8:G26)</f>
        <v>190000</v>
      </c>
      <c r="H27" s="332">
        <f t="shared" si="1"/>
        <v>17839</v>
      </c>
      <c r="I27" s="332">
        <f t="shared" si="1"/>
        <v>141926.95000000001</v>
      </c>
      <c r="J27" s="332">
        <f t="shared" si="1"/>
        <v>0</v>
      </c>
      <c r="K27" s="332">
        <f t="shared" si="1"/>
        <v>0</v>
      </c>
      <c r="L27" s="317">
        <f>SUM(L8:L26)</f>
        <v>350681.91</v>
      </c>
    </row>
    <row r="28" spans="1:13" ht="13.8" thickTop="1"/>
    <row r="31" spans="1:13">
      <c r="F31" s="325"/>
      <c r="L31" s="327"/>
    </row>
    <row r="33" spans="7:12">
      <c r="G33" s="325"/>
      <c r="L33" s="327"/>
    </row>
    <row r="34" spans="7:12">
      <c r="G34" s="325"/>
    </row>
  </sheetData>
  <sheetProtection algorithmName="SHA-512" hashValue="5FWofvHoI9/Rr12StS3DudqbX2dDgpkvF7yHVjXWtZf9eqTzf3VlNmT294Jz8DVnEyFe81K2Dc6ZhW3CedPD9Q==" saltValue="s+a5htBfVke60cUQYAXVXg==" spinCount="100000" sheet="1" objects="1" scenarios="1"/>
  <customSheetViews>
    <customSheetView guid="{AC653BD0-46E3-42CB-9C76-32121A57B65A}">
      <selection activeCell="B1" sqref="B1"/>
      <pageMargins left="0.25" right="0.25" top="0.5" bottom="0.5" header="0.25" footer="0.25"/>
      <pageSetup paperSize="5" scale="99" orientation="landscape" r:id="rId1"/>
      <headerFooter alignWithMargins="0"/>
    </customSheetView>
    <customSheetView guid="{B165479B-DC25-403C-9595-F1A88A4AA9A2}" topLeftCell="A10">
      <selection activeCell="M13" sqref="M13"/>
      <pageMargins left="0.25" right="0.25" top="0.5" bottom="0.5" header="0.25" footer="0.25"/>
      <pageSetup paperSize="5" scale="99" orientation="landscape" r:id="rId2"/>
      <headerFooter alignWithMargins="0"/>
    </customSheetView>
    <customSheetView guid="{A64E4C9E-A3DA-4AAA-8607-F524450B9436}" topLeftCell="A10">
      <selection activeCell="M13" sqref="M13"/>
      <pageMargins left="0.25" right="0.25" top="0.5" bottom="0.5" header="0.25" footer="0.25"/>
      <pageSetup paperSize="5" scale="99" orientation="landscape" r:id="rId3"/>
      <headerFooter alignWithMargins="0"/>
    </customSheetView>
    <customSheetView guid="{AB4FBD91-4533-473A-9702-569FF6402073}" topLeftCell="A10">
      <selection activeCell="M13" sqref="M13"/>
      <pageMargins left="0.25" right="0.25" top="0.5" bottom="0.5" header="0.25" footer="0.25"/>
      <pageSetup paperSize="5" scale="99" orientation="landscape" r:id="rId4"/>
      <headerFooter alignWithMargins="0"/>
    </customSheetView>
  </customSheetViews>
  <mergeCells count="7">
    <mergeCell ref="A15:A16"/>
    <mergeCell ref="B2:L2"/>
    <mergeCell ref="B3:L3"/>
    <mergeCell ref="G4:H4"/>
    <mergeCell ref="B5:E5"/>
    <mergeCell ref="G5:H5"/>
    <mergeCell ref="B12:E12"/>
  </mergeCells>
  <pageMargins left="0.25" right="0.25" top="0.5" bottom="0.5" header="0.25" footer="0.25"/>
  <pageSetup paperSize="5" orientation="landscape" r:id="rId5"/>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O34"/>
  <sheetViews>
    <sheetView zoomScaleNormal="100" workbookViewId="0">
      <selection activeCell="L28" sqref="A1:L28"/>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 Grants Approp Rsrv'!F27</f>
        <v>284769.85999999993</v>
      </c>
      <c r="G8" s="1029">
        <f>+'11.1 Grants Approp Rsrv'!G27</f>
        <v>190000</v>
      </c>
      <c r="H8" s="1029">
        <f>+'11.1 Grants Approp Rsrv'!H27</f>
        <v>17839</v>
      </c>
      <c r="I8" s="1029">
        <f>+'11.1 Grants Approp Rsrv'!I27</f>
        <v>141926.95000000001</v>
      </c>
      <c r="J8" s="1029">
        <f>+'11.1 Grants Approp Rsrv'!J27</f>
        <v>0</v>
      </c>
      <c r="K8" s="1029">
        <f>+'11.1 Grants Approp Rsrv'!K27</f>
        <v>0</v>
      </c>
      <c r="L8" s="1030">
        <f>+'11.1 Grants Approp Rsrv'!L27</f>
        <v>350681.91</v>
      </c>
      <c r="M8" s="710"/>
    </row>
    <row r="9" spans="1:15" ht="21" customHeight="1">
      <c r="B9" s="1604" t="s">
        <v>3847</v>
      </c>
      <c r="C9" s="1604"/>
      <c r="D9" s="1604"/>
      <c r="E9" s="1605"/>
      <c r="F9" s="575"/>
      <c r="G9" s="575">
        <v>26254.39</v>
      </c>
      <c r="H9" s="575"/>
      <c r="I9" s="575">
        <v>24203.040000000001</v>
      </c>
      <c r="J9" s="575"/>
      <c r="K9" s="575"/>
      <c r="L9" s="320">
        <f t="shared" ref="L9:L26" si="0">+F9+G9+H9-I9+J9-K9</f>
        <v>2051.3499999999985</v>
      </c>
      <c r="M9" s="712"/>
    </row>
    <row r="10" spans="1:15" ht="21" customHeight="1">
      <c r="B10" s="1604"/>
      <c r="C10" s="1604"/>
      <c r="D10" s="1604"/>
      <c r="E10" s="1605"/>
      <c r="F10" s="575"/>
      <c r="G10" s="575"/>
      <c r="H10" s="575"/>
      <c r="I10" s="575"/>
      <c r="J10" s="575"/>
      <c r="K10" s="575"/>
      <c r="L10" s="320">
        <f t="shared" si="0"/>
        <v>0</v>
      </c>
      <c r="M10" s="325"/>
    </row>
    <row r="11" spans="1:15" ht="21" customHeight="1">
      <c r="B11" s="1604" t="s">
        <v>3961</v>
      </c>
      <c r="C11" s="1604"/>
      <c r="D11" s="1604"/>
      <c r="E11" s="1605"/>
      <c r="F11" s="575">
        <v>164.48</v>
      </c>
      <c r="G11" s="575"/>
      <c r="H11" s="575">
        <v>9477.9599999999991</v>
      </c>
      <c r="I11" s="575"/>
      <c r="J11" s="575"/>
      <c r="K11" s="575"/>
      <c r="L11" s="320">
        <f t="shared" si="0"/>
        <v>9642.4399999999987</v>
      </c>
      <c r="M11" s="325"/>
      <c r="O11" s="377"/>
    </row>
    <row r="12" spans="1:15" ht="21" customHeight="1">
      <c r="B12" s="1492" t="s">
        <v>3406</v>
      </c>
      <c r="C12" s="1492" t="s">
        <v>3406</v>
      </c>
      <c r="D12" s="1492"/>
      <c r="E12" s="1493"/>
      <c r="F12" s="575">
        <v>0</v>
      </c>
      <c r="G12" s="575"/>
      <c r="H12" s="575"/>
      <c r="I12" s="575"/>
      <c r="J12" s="575"/>
      <c r="K12" s="575"/>
      <c r="L12" s="320">
        <f t="shared" si="0"/>
        <v>0</v>
      </c>
      <c r="M12" s="325"/>
    </row>
    <row r="13" spans="1:15" ht="21" customHeight="1">
      <c r="B13" s="1492" t="s">
        <v>3406</v>
      </c>
      <c r="C13" s="1492"/>
      <c r="D13" s="1492"/>
      <c r="E13" s="1493"/>
      <c r="F13" s="575">
        <v>0</v>
      </c>
      <c r="G13" s="575"/>
      <c r="H13" s="575"/>
      <c r="I13" s="575"/>
      <c r="J13" s="575"/>
      <c r="K13" s="575"/>
      <c r="L13" s="320">
        <f t="shared" si="0"/>
        <v>0</v>
      </c>
      <c r="M13" s="325"/>
    </row>
    <row r="14" spans="1:15" ht="21" customHeight="1">
      <c r="B14" s="1492" t="s">
        <v>3406</v>
      </c>
      <c r="C14" s="1492"/>
      <c r="D14" s="1492"/>
      <c r="E14" s="1493"/>
      <c r="F14" s="575">
        <v>0</v>
      </c>
      <c r="G14" s="575"/>
      <c r="H14" s="575"/>
      <c r="I14" s="575"/>
      <c r="J14" s="575"/>
      <c r="K14" s="575"/>
      <c r="L14" s="320">
        <f t="shared" si="0"/>
        <v>0</v>
      </c>
      <c r="M14" s="325"/>
    </row>
    <row r="15" spans="1:15" ht="21" customHeight="1">
      <c r="A15" s="1577" t="s">
        <v>3573</v>
      </c>
      <c r="B15" s="1604" t="s">
        <v>3406</v>
      </c>
      <c r="C15" s="1604"/>
      <c r="D15" s="1604"/>
      <c r="E15" s="1605"/>
      <c r="F15" s="575">
        <v>0</v>
      </c>
      <c r="G15" s="575"/>
      <c r="H15" s="575"/>
      <c r="I15" s="575"/>
      <c r="J15" s="575"/>
      <c r="K15" s="575"/>
      <c r="L15" s="320">
        <f t="shared" si="0"/>
        <v>0</v>
      </c>
      <c r="M15" s="325"/>
    </row>
    <row r="16" spans="1:15" ht="21" customHeight="1">
      <c r="A16" s="1577"/>
      <c r="B16" s="1604" t="s">
        <v>3406</v>
      </c>
      <c r="C16" s="1604"/>
      <c r="D16" s="1604"/>
      <c r="E16" s="1605"/>
      <c r="F16" s="575">
        <v>0</v>
      </c>
      <c r="G16" s="575"/>
      <c r="H16" s="575">
        <v>0</v>
      </c>
      <c r="I16" s="575"/>
      <c r="J16" s="575"/>
      <c r="K16" s="575"/>
      <c r="L16" s="320">
        <f t="shared" si="0"/>
        <v>0</v>
      </c>
      <c r="M16" s="325"/>
    </row>
    <row r="17" spans="1:13" ht="21" customHeight="1">
      <c r="B17" s="1604" t="s">
        <v>3960</v>
      </c>
      <c r="C17" s="1604"/>
      <c r="D17" s="1604"/>
      <c r="E17" s="1605"/>
      <c r="F17" s="575">
        <v>0</v>
      </c>
      <c r="G17" s="575"/>
      <c r="H17" s="575">
        <v>0</v>
      </c>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t="s">
        <v>3865</v>
      </c>
      <c r="C19" s="1604"/>
      <c r="D19" s="1604"/>
      <c r="E19" s="1605"/>
      <c r="F19" s="575">
        <v>512.13</v>
      </c>
      <c r="G19" s="575"/>
      <c r="H19" s="575"/>
      <c r="I19" s="575"/>
      <c r="J19" s="575"/>
      <c r="K19" s="575"/>
      <c r="L19" s="320">
        <f t="shared" si="0"/>
        <v>512.13</v>
      </c>
      <c r="M19" s="325"/>
    </row>
    <row r="20" spans="1:13" ht="21" customHeight="1">
      <c r="B20" s="1492" t="s">
        <v>3866</v>
      </c>
      <c r="C20" s="1492"/>
      <c r="D20" s="1492"/>
      <c r="E20" s="1493"/>
      <c r="F20" s="575">
        <v>906.03</v>
      </c>
      <c r="G20" s="575"/>
      <c r="H20" s="575"/>
      <c r="I20" s="575"/>
      <c r="J20" s="575"/>
      <c r="K20" s="575"/>
      <c r="L20" s="320">
        <f t="shared" si="0"/>
        <v>906.03</v>
      </c>
      <c r="M20" s="325"/>
    </row>
    <row r="21" spans="1:13" ht="21" customHeight="1">
      <c r="B21" s="1492" t="s">
        <v>3867</v>
      </c>
      <c r="C21" s="1492"/>
      <c r="D21" s="1492"/>
      <c r="E21" s="1493"/>
      <c r="F21" s="575">
        <v>5000</v>
      </c>
      <c r="G21" s="575"/>
      <c r="H21" s="575"/>
      <c r="I21" s="575"/>
      <c r="J21" s="575"/>
      <c r="K21" s="575"/>
      <c r="L21" s="320">
        <f t="shared" si="0"/>
        <v>5000</v>
      </c>
      <c r="M21" s="325"/>
    </row>
    <row r="22" spans="1:13" ht="21" customHeight="1">
      <c r="B22" s="1492" t="s">
        <v>3850</v>
      </c>
      <c r="C22" s="1492"/>
      <c r="D22" s="1492"/>
      <c r="E22" s="1493"/>
      <c r="F22" s="575"/>
      <c r="G22" s="575"/>
      <c r="H22" s="575">
        <v>5000</v>
      </c>
      <c r="I22" s="575"/>
      <c r="J22" s="575"/>
      <c r="K22" s="575"/>
      <c r="L22" s="320">
        <f t="shared" si="0"/>
        <v>5000</v>
      </c>
      <c r="M22" s="325"/>
    </row>
    <row r="23" spans="1:13" ht="21" customHeight="1">
      <c r="B23" s="1604"/>
      <c r="C23" s="1604"/>
      <c r="D23" s="1604"/>
      <c r="E23" s="1605"/>
      <c r="F23" s="575"/>
      <c r="G23" s="575"/>
      <c r="H23" s="575"/>
      <c r="I23" s="575"/>
      <c r="J23" s="575"/>
      <c r="K23" s="575"/>
      <c r="L23" s="320">
        <f t="shared" si="0"/>
        <v>0</v>
      </c>
      <c r="M23" s="325"/>
    </row>
    <row r="24" spans="1:13" ht="21" customHeight="1">
      <c r="B24" s="1604" t="s">
        <v>3868</v>
      </c>
      <c r="C24" s="1604"/>
      <c r="D24" s="1604"/>
      <c r="E24" s="1605"/>
      <c r="F24" s="575">
        <v>3000</v>
      </c>
      <c r="G24" s="575"/>
      <c r="H24" s="575"/>
      <c r="I24" s="575">
        <v>3000</v>
      </c>
      <c r="J24" s="575"/>
      <c r="K24" s="575"/>
      <c r="L24" s="320">
        <f t="shared" si="0"/>
        <v>0</v>
      </c>
      <c r="M24" s="325"/>
    </row>
    <row r="25" spans="1:13" ht="21" customHeight="1">
      <c r="B25" s="1492" t="s">
        <v>3851</v>
      </c>
      <c r="C25" s="1492"/>
      <c r="D25" s="1492"/>
      <c r="E25" s="1493"/>
      <c r="F25" s="575"/>
      <c r="G25" s="575"/>
      <c r="H25" s="575">
        <v>1000</v>
      </c>
      <c r="I25" s="575"/>
      <c r="J25" s="575"/>
      <c r="K25" s="575"/>
      <c r="L25" s="320">
        <f t="shared" si="0"/>
        <v>1000</v>
      </c>
      <c r="M25" s="325"/>
    </row>
    <row r="26" spans="1:13" ht="21" customHeight="1">
      <c r="B26" s="1604" t="s">
        <v>3869</v>
      </c>
      <c r="C26" s="1604"/>
      <c r="D26" s="1604"/>
      <c r="E26" s="1605"/>
      <c r="F26" s="575">
        <v>591.79999999999995</v>
      </c>
      <c r="G26" s="575"/>
      <c r="H26" s="575"/>
      <c r="I26" s="575"/>
      <c r="J26" s="575"/>
      <c r="K26" s="575"/>
      <c r="L26" s="320">
        <f t="shared" si="0"/>
        <v>591.79999999999995</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v+k9ui2pYWixVGldb08XT1mMqMGgaIp9WZXHizApj8ZPqhsadNjDHK1WXawHEPfFOjZ7BOIMeNurv7u81AJXfQ==" saltValue="abFrHJiCScaM9uWwr6u0Cg==" spinCount="100000" sheet="1" objects="1" scenarios="1"/>
  <customSheetViews>
    <customSheetView guid="{AC653BD0-46E3-42CB-9C76-32121A57B65A}">
      <selection activeCell="B1" sqref="B1"/>
      <pageMargins left="0.25" right="0.25" top="0.5" bottom="0.5" header="0.25" footer="0.25"/>
      <pageSetup paperSize="5" scale="99" orientation="landscape" r:id="rId1"/>
      <headerFooter alignWithMargins="0"/>
    </customSheetView>
    <customSheetView guid="{B165479B-DC25-403C-9595-F1A88A4AA9A2}" topLeftCell="A13">
      <selection activeCell="N26" sqref="N26"/>
      <pageMargins left="0.25" right="0.25" top="0.5" bottom="0.5" header="0.25" footer="0.25"/>
      <pageSetup paperSize="5" scale="99" orientation="landscape" r:id="rId2"/>
      <headerFooter alignWithMargins="0"/>
    </customSheetView>
    <customSheetView guid="{A64E4C9E-A3DA-4AAA-8607-F524450B9436}" topLeftCell="A13">
      <selection activeCell="N26" sqref="N26"/>
      <pageMargins left="0.25" right="0.25" top="0.5" bottom="0.5" header="0.25" footer="0.25"/>
      <pageSetup paperSize="5" scale="99" orientation="landscape" r:id="rId3"/>
      <headerFooter alignWithMargins="0"/>
    </customSheetView>
    <customSheetView guid="{AB4FBD91-4533-473A-9702-569FF6402073}" topLeftCell="A13">
      <selection activeCell="N26" sqref="N26"/>
      <pageMargins left="0.25" right="0.25" top="0.5" bottom="0.5" header="0.25" footer="0.25"/>
      <pageSetup paperSize="5" scale="99" orientation="landscape" r:id="rId4"/>
      <headerFooter alignWithMargins="0"/>
    </customSheetView>
  </customSheetViews>
  <mergeCells count="17">
    <mergeCell ref="B26:E26"/>
    <mergeCell ref="B17:E17"/>
    <mergeCell ref="B18:E18"/>
    <mergeCell ref="B19:E19"/>
    <mergeCell ref="B23:E23"/>
    <mergeCell ref="B24:E24"/>
    <mergeCell ref="A15:A16"/>
    <mergeCell ref="B2:L2"/>
    <mergeCell ref="B3:L3"/>
    <mergeCell ref="G4:H4"/>
    <mergeCell ref="B5:E5"/>
    <mergeCell ref="G5:H5"/>
    <mergeCell ref="B9:E9"/>
    <mergeCell ref="B10:E10"/>
    <mergeCell ref="B11:E11"/>
    <mergeCell ref="B15:E15"/>
    <mergeCell ref="B16:E16"/>
  </mergeCells>
  <pageMargins left="0.25" right="0.25" top="0.5" bottom="0.5" header="0.25" footer="0.25"/>
  <pageSetup paperSize="5" orientation="landscape" r:id="rId5"/>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 Grants Approp Rsrv'!F27</f>
        <v>294944.29999999993</v>
      </c>
      <c r="G8" s="1029">
        <f>+'11.2 Grants Approp Rsrv'!G27</f>
        <v>216254.39</v>
      </c>
      <c r="H8" s="1029">
        <f>+'11.2 Grants Approp Rsrv'!H27</f>
        <v>33316.959999999999</v>
      </c>
      <c r="I8" s="1029">
        <f>+'11.2 Grants Approp Rsrv'!I27</f>
        <v>169129.99000000002</v>
      </c>
      <c r="J8" s="1029">
        <f>+'11.2 Grants Approp Rsrv'!J27</f>
        <v>0</v>
      </c>
      <c r="K8" s="1029">
        <f>+'11.2 Grants Approp Rsrv'!K27</f>
        <v>0</v>
      </c>
      <c r="L8" s="1030">
        <f>+'11.2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3574</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HZOg2pQamA2ywIihuKwQNnmr+FKVjprZNBGuPcqrA0hlpA+fYM6D3Q7sxSFWbqifAiHMo9Nva3fUZgBc0PTjow==" saltValue="4B+GgIUyebDx8dAOSumn1A=="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 Grants Approp Rsrv'!F27</f>
        <v>294944.29999999993</v>
      </c>
      <c r="G8" s="1029">
        <f>+'11.3 Grants Approp Rsrv'!G27</f>
        <v>216254.39</v>
      </c>
      <c r="H8" s="1029">
        <f>+'11.3 Grants Approp Rsrv'!H27</f>
        <v>33316.959999999999</v>
      </c>
      <c r="I8" s="1029">
        <f>+'11.3 Grants Approp Rsrv'!I27</f>
        <v>169129.99000000002</v>
      </c>
      <c r="J8" s="1029">
        <f>+'11.3 Grants Approp Rsrv'!J27</f>
        <v>0</v>
      </c>
      <c r="K8" s="1029">
        <f>+'11.3 Grants Approp Rsrv'!K27</f>
        <v>0</v>
      </c>
      <c r="L8" s="1030">
        <f>+'11.3 Grants Approp Rsrv'!L27</f>
        <v>375385.66</v>
      </c>
      <c r="M8" s="710"/>
    </row>
    <row r="9" spans="1:15" ht="21" customHeight="1">
      <c r="B9" s="1610"/>
      <c r="C9" s="1610"/>
      <c r="D9" s="1610"/>
      <c r="E9" s="1611"/>
      <c r="F9" s="575"/>
      <c r="G9" s="575"/>
      <c r="H9" s="575"/>
      <c r="I9" s="575"/>
      <c r="J9" s="575"/>
      <c r="K9" s="575"/>
      <c r="L9" s="320">
        <f t="shared" ref="L9:L26" si="0">+F9+G9+H9-I9+J9-K9</f>
        <v>0</v>
      </c>
      <c r="M9" s="712"/>
    </row>
    <row r="10" spans="1:15" ht="21" customHeight="1">
      <c r="B10" s="1610"/>
      <c r="C10" s="1610"/>
      <c r="D10" s="1610"/>
      <c r="E10" s="1611"/>
      <c r="F10" s="575"/>
      <c r="G10" s="575"/>
      <c r="H10" s="575"/>
      <c r="I10" s="575"/>
      <c r="J10" s="575"/>
      <c r="K10" s="575"/>
      <c r="L10" s="320">
        <f t="shared" si="0"/>
        <v>0</v>
      </c>
      <c r="M10" s="325"/>
    </row>
    <row r="11" spans="1:15" ht="21" customHeight="1">
      <c r="B11" s="1610"/>
      <c r="C11" s="1610"/>
      <c r="D11" s="1610"/>
      <c r="E11" s="1611"/>
      <c r="F11" s="575"/>
      <c r="G11" s="575"/>
      <c r="H11" s="575"/>
      <c r="I11" s="575"/>
      <c r="J11" s="575"/>
      <c r="K11" s="575"/>
      <c r="L11" s="320">
        <f t="shared" si="0"/>
        <v>0</v>
      </c>
      <c r="M11" s="325"/>
      <c r="O11" s="377"/>
    </row>
    <row r="12" spans="1:15" ht="21" customHeight="1">
      <c r="B12" s="1610"/>
      <c r="C12" s="1610"/>
      <c r="D12" s="1610"/>
      <c r="E12" s="1611"/>
      <c r="F12" s="575"/>
      <c r="G12" s="575"/>
      <c r="H12" s="575"/>
      <c r="I12" s="575"/>
      <c r="J12" s="575"/>
      <c r="K12" s="575"/>
      <c r="L12" s="320">
        <f t="shared" si="0"/>
        <v>0</v>
      </c>
      <c r="M12" s="325"/>
    </row>
    <row r="13" spans="1:15" ht="21" customHeight="1">
      <c r="B13" s="1610"/>
      <c r="C13" s="1610"/>
      <c r="D13" s="1610"/>
      <c r="E13" s="1611"/>
      <c r="F13" s="575"/>
      <c r="G13" s="575"/>
      <c r="H13" s="575"/>
      <c r="I13" s="575"/>
      <c r="J13" s="575"/>
      <c r="K13" s="575"/>
      <c r="L13" s="320">
        <f t="shared" si="0"/>
        <v>0</v>
      </c>
      <c r="M13" s="325"/>
    </row>
    <row r="14" spans="1:15" ht="21" customHeight="1">
      <c r="B14" s="1610"/>
      <c r="C14" s="1610"/>
      <c r="D14" s="1610"/>
      <c r="E14" s="1611"/>
      <c r="F14" s="575"/>
      <c r="G14" s="575"/>
      <c r="H14" s="575"/>
      <c r="I14" s="575"/>
      <c r="J14" s="575"/>
      <c r="K14" s="575"/>
      <c r="L14" s="320">
        <f t="shared" si="0"/>
        <v>0</v>
      </c>
      <c r="M14" s="325"/>
    </row>
    <row r="15" spans="1:15" ht="21" customHeight="1">
      <c r="A15" s="1577" t="s">
        <v>3575</v>
      </c>
      <c r="B15" s="1610"/>
      <c r="C15" s="1610"/>
      <c r="D15" s="1610"/>
      <c r="E15" s="1611"/>
      <c r="F15" s="575"/>
      <c r="G15" s="575"/>
      <c r="H15" s="575"/>
      <c r="I15" s="575"/>
      <c r="J15" s="575"/>
      <c r="K15" s="575"/>
      <c r="L15" s="320">
        <f t="shared" si="0"/>
        <v>0</v>
      </c>
      <c r="M15" s="325"/>
    </row>
    <row r="16" spans="1:15" ht="21" customHeight="1">
      <c r="A16" s="1577"/>
      <c r="B16" s="1610"/>
      <c r="C16" s="1610"/>
      <c r="D16" s="1610"/>
      <c r="E16" s="1611"/>
      <c r="F16" s="575"/>
      <c r="G16" s="575"/>
      <c r="H16" s="575"/>
      <c r="I16" s="575"/>
      <c r="J16" s="575"/>
      <c r="K16" s="575"/>
      <c r="L16" s="320">
        <f t="shared" si="0"/>
        <v>0</v>
      </c>
      <c r="M16" s="325"/>
    </row>
    <row r="17" spans="1:13" ht="21" customHeight="1">
      <c r="B17" s="1610"/>
      <c r="C17" s="1610"/>
      <c r="D17" s="1610"/>
      <c r="E17" s="1611"/>
      <c r="F17" s="575"/>
      <c r="G17" s="575"/>
      <c r="H17" s="575"/>
      <c r="I17" s="575"/>
      <c r="J17" s="575"/>
      <c r="K17" s="575"/>
      <c r="L17" s="320">
        <f t="shared" si="0"/>
        <v>0</v>
      </c>
      <c r="M17" s="325"/>
    </row>
    <row r="18" spans="1:13" ht="21" customHeight="1">
      <c r="A18" s="757"/>
      <c r="B18" s="1610"/>
      <c r="C18" s="1610"/>
      <c r="D18" s="1610"/>
      <c r="E18" s="1611"/>
      <c r="F18" s="575"/>
      <c r="G18" s="575"/>
      <c r="H18" s="575"/>
      <c r="I18" s="575"/>
      <c r="J18" s="575"/>
      <c r="K18" s="575"/>
      <c r="L18" s="320">
        <f t="shared" si="0"/>
        <v>0</v>
      </c>
      <c r="M18" s="325"/>
    </row>
    <row r="19" spans="1:13" ht="21" customHeight="1">
      <c r="A19" s="757"/>
      <c r="B19" s="1610"/>
      <c r="C19" s="1610"/>
      <c r="D19" s="1610"/>
      <c r="E19" s="1611"/>
      <c r="F19" s="575"/>
      <c r="G19" s="575"/>
      <c r="H19" s="575"/>
      <c r="I19" s="575"/>
      <c r="J19" s="575"/>
      <c r="K19" s="575"/>
      <c r="L19" s="320">
        <f t="shared" si="0"/>
        <v>0</v>
      </c>
      <c r="M19" s="325"/>
    </row>
    <row r="20" spans="1:13" ht="21" customHeight="1">
      <c r="B20" s="1610"/>
      <c r="C20" s="1610"/>
      <c r="D20" s="1610"/>
      <c r="E20" s="1611"/>
      <c r="F20" s="575"/>
      <c r="G20" s="575"/>
      <c r="H20" s="575"/>
      <c r="I20" s="575"/>
      <c r="J20" s="575"/>
      <c r="K20" s="575"/>
      <c r="L20" s="320">
        <f t="shared" si="0"/>
        <v>0</v>
      </c>
      <c r="M20" s="325"/>
    </row>
    <row r="21" spans="1:13" ht="21" customHeight="1">
      <c r="B21" s="1610"/>
      <c r="C21" s="1610"/>
      <c r="D21" s="1610"/>
      <c r="E21" s="1611"/>
      <c r="F21" s="575"/>
      <c r="G21" s="575"/>
      <c r="H21" s="575"/>
      <c r="I21" s="575"/>
      <c r="J21" s="575"/>
      <c r="K21" s="575"/>
      <c r="L21" s="320">
        <f t="shared" si="0"/>
        <v>0</v>
      </c>
      <c r="M21" s="325"/>
    </row>
    <row r="22" spans="1:13" ht="21" customHeight="1">
      <c r="B22" s="1610"/>
      <c r="C22" s="1610"/>
      <c r="D22" s="1610"/>
      <c r="E22" s="1611"/>
      <c r="F22" s="575"/>
      <c r="G22" s="575"/>
      <c r="H22" s="575"/>
      <c r="I22" s="575"/>
      <c r="J22" s="575"/>
      <c r="K22" s="575"/>
      <c r="L22" s="320">
        <f t="shared" si="0"/>
        <v>0</v>
      </c>
      <c r="M22" s="325"/>
    </row>
    <row r="23" spans="1:13" ht="21" customHeight="1">
      <c r="B23" s="1610"/>
      <c r="C23" s="1610"/>
      <c r="D23" s="1610"/>
      <c r="E23" s="1611"/>
      <c r="F23" s="575"/>
      <c r="G23" s="575"/>
      <c r="H23" s="575"/>
      <c r="I23" s="575"/>
      <c r="J23" s="575"/>
      <c r="K23" s="575"/>
      <c r="L23" s="320">
        <f t="shared" si="0"/>
        <v>0</v>
      </c>
      <c r="M23" s="325"/>
    </row>
    <row r="24" spans="1:13" ht="21" customHeight="1">
      <c r="B24" s="1610"/>
      <c r="C24" s="1610"/>
      <c r="D24" s="1610"/>
      <c r="E24" s="1611"/>
      <c r="F24" s="575"/>
      <c r="G24" s="575"/>
      <c r="H24" s="575"/>
      <c r="I24" s="575"/>
      <c r="J24" s="575"/>
      <c r="K24" s="575"/>
      <c r="L24" s="320">
        <f t="shared" si="0"/>
        <v>0</v>
      </c>
      <c r="M24" s="325"/>
    </row>
    <row r="25" spans="1:13" ht="21" customHeight="1">
      <c r="B25" s="1610"/>
      <c r="C25" s="1610"/>
      <c r="D25" s="1610"/>
      <c r="E25" s="1611"/>
      <c r="F25" s="575"/>
      <c r="G25" s="575"/>
      <c r="H25" s="575"/>
      <c r="I25" s="575"/>
      <c r="J25" s="575"/>
      <c r="K25" s="575"/>
      <c r="L25" s="320">
        <f t="shared" si="0"/>
        <v>0</v>
      </c>
      <c r="M25" s="325"/>
    </row>
    <row r="26" spans="1:13" ht="21" customHeight="1">
      <c r="B26" s="1610"/>
      <c r="C26" s="1610"/>
      <c r="D26" s="1610"/>
      <c r="E26" s="1611"/>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jA2jaIKZpkGsqVJ1bt7cIInwdg8Cwf4y7wh6j3kWcjpfhoTMcVzPOMgkuAmzdNpNDK2ghiXvIfMZVZxEB6hEmw==" saltValue="Uf8tEgn7uwGvNwjFEzuNu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+'11.4 Grants Approp Rsrv'!F27</f>
        <v>294944.29999999993</v>
      </c>
      <c r="G8" s="1029">
        <f>+'11.4 Grants Approp Rsrv'!G27</f>
        <v>216254.39</v>
      </c>
      <c r="H8" s="1029">
        <f>+'11.4 Grants Approp Rsrv'!H27</f>
        <v>33316.959999999999</v>
      </c>
      <c r="I8" s="1029">
        <f>+'11.4 Grants Approp Rsrv'!I27</f>
        <v>169129.99000000002</v>
      </c>
      <c r="J8" s="1029">
        <f>+'11.4 Grants Approp Rsrv'!J27</f>
        <v>0</v>
      </c>
      <c r="K8" s="1029">
        <f>+'11.4 Grants Approp Rsrv'!K27</f>
        <v>0</v>
      </c>
      <c r="L8" s="1030">
        <f>+'11.4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3576</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GQyen/veXbOVJ3ZaiPcZ6udyDyQ7vcK+ryskbigZuVVseIaBkQpZSyp6BveS9R2cwIYdjk3DK//2cQqWV1ffMg==" saltValue="88XqofaKwSK5YOReGex2MA=="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+'11.5 Grants Approp Rsrv'!F27</f>
        <v>294944.29999999993</v>
      </c>
      <c r="G8" s="1029">
        <f>+'11.5 Grants Approp Rsrv'!G27</f>
        <v>216254.39</v>
      </c>
      <c r="H8" s="1029">
        <f>+'11.5 Grants Approp Rsrv'!H27</f>
        <v>33316.959999999999</v>
      </c>
      <c r="I8" s="1029">
        <f>+'11.5 Grants Approp Rsrv'!I27</f>
        <v>169129.99000000002</v>
      </c>
      <c r="J8" s="1029">
        <f>+'11.5 Grants Approp Rsrv'!J27</f>
        <v>0</v>
      </c>
      <c r="K8" s="1029">
        <f>+'11.5 Grants Approp Rsrv'!K27</f>
        <v>0</v>
      </c>
      <c r="L8" s="1030">
        <f>+'11.5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3577</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gAyXsoKS4uLIuGaD1cga3PZuzDj3m10D7ALDBL049ttN5rQep9i5Fp42Wgpz2gLInqE1d0sMmJKS19D3G2tmxw==" saltValue="s0Pe4K27AuFANQUjOiIhy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+'11.6 Grants Approp Rsrv'!F27</f>
        <v>294944.29999999993</v>
      </c>
      <c r="G8" s="1029">
        <f>+'11.6 Grants Approp Rsrv'!G27</f>
        <v>216254.39</v>
      </c>
      <c r="H8" s="1029">
        <f>+'11.6 Grants Approp Rsrv'!H27</f>
        <v>33316.959999999999</v>
      </c>
      <c r="I8" s="1029">
        <f>+'11.6 Grants Approp Rsrv'!I27</f>
        <v>169129.99000000002</v>
      </c>
      <c r="J8" s="1029">
        <f>+'11.6 Grants Approp Rsrv'!J27</f>
        <v>0</v>
      </c>
      <c r="K8" s="1029">
        <f>+'11.6 Grants Approp Rsrv'!K27</f>
        <v>0</v>
      </c>
      <c r="L8" s="1030">
        <f>+'11.6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3578</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sNuFYQiOMN6iV1MkWu3xXioSpSbfLcIVpPfThBHfzsT2Ki47UNXXAnsw/zGECUI6+bIX1BUWkrV3+uHsuc9C/Q==" saltValue="mtPJAB4JEUGXHwt8GSWkU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+'11.7 Grants Approp Rsrv'!F27</f>
        <v>294944.29999999993</v>
      </c>
      <c r="G8" s="1029">
        <f>+'11.7 Grants Approp Rsrv'!G27</f>
        <v>216254.39</v>
      </c>
      <c r="H8" s="1029">
        <f>+'11.7 Grants Approp Rsrv'!H27</f>
        <v>33316.959999999999</v>
      </c>
      <c r="I8" s="1029">
        <f>+'11.7 Grants Approp Rsrv'!I27</f>
        <v>169129.99000000002</v>
      </c>
      <c r="J8" s="1029">
        <f>+'11.7 Grants Approp Rsrv'!J27</f>
        <v>0</v>
      </c>
      <c r="K8" s="1029">
        <f>+'11.7 Grants Approp Rsrv'!K27</f>
        <v>0</v>
      </c>
      <c r="L8" s="1030">
        <f>+'11.7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3579</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6u0lXgkXpqibty84kTOFcE1Ur3f1y5JPRdYCEiReMx5cqe0NkOnMMFrGE5lPbXJ3O8khDy+LBpHcjiRDKLnqqQ==" saltValue="YwR9KeX3gB1TgL7R9GKHG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C4:P66"/>
  <sheetViews>
    <sheetView topLeftCell="A46" zoomScaleNormal="100" workbookViewId="0">
      <selection activeCell="H64" sqref="H64"/>
    </sheetView>
  </sheetViews>
  <sheetFormatPr defaultRowHeight="13.2"/>
  <cols>
    <col min="1" max="5" width="4.6640625" customWidth="1"/>
    <col min="13" max="13" width="11.109375" customWidth="1"/>
  </cols>
  <sheetData>
    <row r="4" spans="3:13" ht="15.6">
      <c r="C4" s="1542" t="s">
        <v>820</v>
      </c>
      <c r="D4" s="1542"/>
      <c r="E4" s="1542"/>
      <c r="F4" s="1542"/>
      <c r="G4" s="1542"/>
      <c r="H4" s="1542"/>
      <c r="I4" s="1542"/>
      <c r="J4" s="1542"/>
      <c r="K4" s="1542"/>
      <c r="L4" s="1542"/>
      <c r="M4" s="1542"/>
    </row>
    <row r="5" spans="3:13" ht="15.6">
      <c r="C5" s="1542" t="s">
        <v>821</v>
      </c>
      <c r="D5" s="1542"/>
      <c r="E5" s="1542"/>
      <c r="F5" s="1542"/>
      <c r="G5" s="1542"/>
      <c r="H5" s="1542"/>
      <c r="I5" s="1542"/>
      <c r="J5" s="1542"/>
      <c r="K5" s="1542"/>
      <c r="L5" s="1542"/>
      <c r="M5" s="1542"/>
    </row>
    <row r="6" spans="3:13" ht="15.6">
      <c r="C6" s="1542" t="s">
        <v>822</v>
      </c>
      <c r="D6" s="1542"/>
      <c r="E6" s="1542"/>
      <c r="F6" s="1542"/>
      <c r="G6" s="1542"/>
      <c r="H6" s="1542"/>
      <c r="I6" s="1542"/>
      <c r="J6" s="1542"/>
      <c r="K6" s="1542"/>
      <c r="L6" s="1542"/>
      <c r="M6" s="1542"/>
    </row>
    <row r="9" spans="3:13">
      <c r="D9" s="171" t="s">
        <v>823</v>
      </c>
    </row>
    <row r="10" spans="3:13">
      <c r="D10" s="171" t="s">
        <v>824</v>
      </c>
    </row>
    <row r="11" spans="3:13" ht="13.8" thickBot="1"/>
    <row r="12" spans="3:13">
      <c r="C12" s="172"/>
      <c r="D12" s="173"/>
      <c r="E12" s="173"/>
      <c r="F12" s="173"/>
      <c r="G12" s="173"/>
      <c r="H12" s="173"/>
      <c r="I12" s="173"/>
      <c r="J12" s="173"/>
      <c r="K12" s="173"/>
      <c r="L12" s="173"/>
      <c r="M12" s="174"/>
    </row>
    <row r="13" spans="3:13">
      <c r="C13" s="175"/>
      <c r="D13" s="1538" t="s">
        <v>825</v>
      </c>
      <c r="E13" s="1538"/>
      <c r="F13" s="1538"/>
      <c r="G13" s="1538"/>
      <c r="H13" s="1538"/>
      <c r="I13" s="1538"/>
      <c r="J13" s="1538"/>
      <c r="K13" s="1538"/>
      <c r="L13" s="1538"/>
      <c r="M13" s="176"/>
    </row>
    <row r="14" spans="3:13">
      <c r="C14" s="175"/>
      <c r="D14" s="42"/>
      <c r="E14" s="42"/>
      <c r="F14" s="42"/>
      <c r="G14" s="42"/>
      <c r="H14" s="42"/>
      <c r="I14" s="42"/>
      <c r="J14" s="42"/>
      <c r="K14" s="42"/>
      <c r="L14" s="42"/>
      <c r="M14" s="176"/>
    </row>
    <row r="15" spans="3:13">
      <c r="C15" s="175"/>
      <c r="D15" s="177" t="s">
        <v>384</v>
      </c>
      <c r="E15" s="42"/>
      <c r="F15" s="42" t="s">
        <v>826</v>
      </c>
      <c r="G15" s="42"/>
      <c r="H15" s="42"/>
      <c r="I15" s="42"/>
      <c r="J15" s="42"/>
      <c r="K15" s="42"/>
      <c r="L15" s="42"/>
      <c r="M15" s="176"/>
    </row>
    <row r="16" spans="3:13">
      <c r="C16" s="175"/>
      <c r="D16" s="177"/>
      <c r="E16" s="42"/>
      <c r="F16" s="42"/>
      <c r="G16" s="42"/>
      <c r="H16" s="42"/>
      <c r="I16" s="42"/>
      <c r="J16" s="42"/>
      <c r="K16" s="42"/>
      <c r="L16" s="42"/>
      <c r="M16" s="176"/>
    </row>
    <row r="17" spans="3:16">
      <c r="C17" s="175"/>
      <c r="D17" s="177" t="s">
        <v>385</v>
      </c>
      <c r="E17" s="42"/>
      <c r="F17" s="42" t="s">
        <v>828</v>
      </c>
      <c r="G17" s="42"/>
      <c r="H17" s="42"/>
      <c r="I17" s="42"/>
      <c r="J17" s="42"/>
      <c r="K17" s="42"/>
      <c r="L17" s="42"/>
      <c r="M17" s="176"/>
    </row>
    <row r="18" spans="3:16">
      <c r="C18" s="175"/>
      <c r="D18" s="177"/>
      <c r="E18" s="42"/>
      <c r="F18" s="42" t="s">
        <v>827</v>
      </c>
      <c r="G18" s="42"/>
      <c r="H18" s="42"/>
      <c r="I18" s="42"/>
      <c r="J18" s="42"/>
      <c r="K18" s="42"/>
      <c r="L18" s="42"/>
      <c r="M18" s="176"/>
    </row>
    <row r="19" spans="3:16">
      <c r="C19" s="175"/>
      <c r="D19" s="177"/>
      <c r="E19" s="42"/>
      <c r="F19" s="42"/>
      <c r="G19" s="42"/>
      <c r="H19" s="42"/>
      <c r="I19" s="42"/>
      <c r="J19" s="42"/>
      <c r="K19" s="42"/>
      <c r="L19" s="42"/>
      <c r="M19" s="176"/>
    </row>
    <row r="20" spans="3:16">
      <c r="C20" s="175"/>
      <c r="D20" s="177" t="s">
        <v>386</v>
      </c>
      <c r="E20" s="42"/>
      <c r="F20" s="42" t="s">
        <v>796</v>
      </c>
      <c r="G20" s="42"/>
      <c r="H20" s="42"/>
      <c r="I20" s="42"/>
      <c r="J20" s="42"/>
      <c r="K20" s="42"/>
      <c r="L20" s="42"/>
      <c r="M20" s="176"/>
    </row>
    <row r="21" spans="3:16">
      <c r="C21" s="175"/>
      <c r="D21" s="177"/>
      <c r="E21" s="42"/>
      <c r="F21" s="42"/>
      <c r="G21" s="42"/>
      <c r="H21" s="42"/>
      <c r="I21" s="42"/>
      <c r="J21" s="42"/>
      <c r="K21" s="42"/>
      <c r="L21" s="42"/>
      <c r="M21" s="176"/>
    </row>
    <row r="22" spans="3:16">
      <c r="C22" s="175"/>
      <c r="D22" s="177" t="s">
        <v>387</v>
      </c>
      <c r="E22" s="42"/>
      <c r="F22" s="42" t="s">
        <v>1040</v>
      </c>
      <c r="G22" s="42"/>
      <c r="H22" s="42"/>
      <c r="I22" s="42"/>
      <c r="J22" s="42"/>
      <c r="K22" s="42"/>
      <c r="L22" s="42"/>
      <c r="M22" s="176"/>
    </row>
    <row r="23" spans="3:16">
      <c r="C23" s="175"/>
      <c r="D23" s="177"/>
      <c r="E23" s="42"/>
      <c r="F23" s="42"/>
      <c r="G23" s="42"/>
      <c r="H23" s="42"/>
      <c r="I23" s="42"/>
      <c r="J23" s="42"/>
      <c r="K23" s="42"/>
      <c r="L23" s="42"/>
      <c r="M23" s="176"/>
    </row>
    <row r="24" spans="3:16">
      <c r="C24" s="175"/>
      <c r="D24" s="177" t="s">
        <v>388</v>
      </c>
      <c r="E24" s="42"/>
      <c r="F24" s="42" t="s">
        <v>81</v>
      </c>
      <c r="G24" s="42"/>
      <c r="H24" s="42"/>
      <c r="I24" s="42"/>
      <c r="J24" s="42"/>
      <c r="K24" s="42"/>
      <c r="L24" s="42"/>
      <c r="M24" s="176"/>
    </row>
    <row r="25" spans="3:16">
      <c r="C25" s="175"/>
      <c r="D25" s="177"/>
      <c r="E25" s="42"/>
      <c r="F25" s="42" t="s">
        <v>1041</v>
      </c>
      <c r="G25" s="42"/>
      <c r="H25" s="42"/>
      <c r="I25" s="42"/>
      <c r="J25" s="42"/>
      <c r="K25" s="42"/>
      <c r="L25" s="42"/>
      <c r="M25" s="176"/>
    </row>
    <row r="26" spans="3:16">
      <c r="C26" s="175"/>
      <c r="D26" s="177"/>
      <c r="E26" s="42"/>
      <c r="F26" s="42"/>
      <c r="G26" s="42"/>
      <c r="H26" s="42"/>
      <c r="I26" s="42"/>
      <c r="J26" s="42"/>
      <c r="K26" s="42"/>
      <c r="L26" s="42"/>
      <c r="M26" s="176"/>
    </row>
    <row r="27" spans="3:16">
      <c r="C27" s="175"/>
      <c r="D27" s="177" t="s">
        <v>389</v>
      </c>
      <c r="E27" s="42"/>
      <c r="F27" s="42" t="s">
        <v>82</v>
      </c>
      <c r="G27" s="42"/>
      <c r="H27" s="42"/>
      <c r="I27" s="42"/>
      <c r="J27" s="42"/>
      <c r="K27" s="42"/>
      <c r="L27" s="42"/>
      <c r="M27" s="176"/>
    </row>
    <row r="28" spans="3:16">
      <c r="C28" s="175"/>
      <c r="D28" s="177"/>
      <c r="E28" s="42"/>
      <c r="F28" s="42"/>
      <c r="G28" s="42"/>
      <c r="H28" s="42"/>
      <c r="I28" s="42"/>
      <c r="J28" s="42"/>
      <c r="K28" s="42"/>
      <c r="L28" s="42"/>
      <c r="M28" s="176"/>
    </row>
    <row r="29" spans="3:16">
      <c r="C29" s="175"/>
      <c r="D29" s="177" t="s">
        <v>390</v>
      </c>
      <c r="E29" s="42"/>
      <c r="F29" s="42" t="s">
        <v>105</v>
      </c>
      <c r="G29" s="42"/>
      <c r="H29" s="42"/>
      <c r="I29" s="42"/>
      <c r="J29" s="42"/>
      <c r="K29" s="42"/>
      <c r="L29" s="42"/>
      <c r="M29" s="176"/>
      <c r="P29" s="377"/>
    </row>
    <row r="30" spans="3:16">
      <c r="C30" s="175"/>
      <c r="D30" s="177"/>
      <c r="E30" s="42"/>
      <c r="F30" s="42" t="s">
        <v>106</v>
      </c>
      <c r="G30" s="42"/>
      <c r="H30" s="42"/>
      <c r="I30" s="42"/>
      <c r="J30" s="42"/>
      <c r="K30" s="42"/>
      <c r="L30" s="42"/>
      <c r="M30" s="176"/>
    </row>
    <row r="31" spans="3:16">
      <c r="C31" s="175"/>
      <c r="D31" s="177"/>
      <c r="E31" s="42"/>
      <c r="F31" s="42"/>
      <c r="G31" s="42"/>
      <c r="H31" s="42"/>
      <c r="I31" s="42"/>
      <c r="J31" s="42"/>
      <c r="K31" s="42"/>
      <c r="L31" s="42"/>
      <c r="M31" s="176"/>
    </row>
    <row r="32" spans="3:16">
      <c r="C32" s="175"/>
      <c r="D32" s="177" t="s">
        <v>501</v>
      </c>
      <c r="E32" s="42"/>
      <c r="F32" s="42" t="s">
        <v>101</v>
      </c>
      <c r="G32" s="42"/>
      <c r="H32" s="42"/>
      <c r="I32" s="42"/>
      <c r="J32" s="42"/>
      <c r="K32" s="42"/>
      <c r="L32" s="42"/>
      <c r="M32" s="176"/>
    </row>
    <row r="33" spans="3:13">
      <c r="C33" s="175"/>
      <c r="D33" s="177"/>
      <c r="E33" s="42"/>
      <c r="F33" s="42" t="s">
        <v>608</v>
      </c>
      <c r="G33" s="42"/>
      <c r="H33" s="42"/>
      <c r="I33" s="42"/>
      <c r="J33" s="42"/>
      <c r="K33" s="42"/>
      <c r="L33" s="42"/>
      <c r="M33" s="176"/>
    </row>
    <row r="34" spans="3:13">
      <c r="C34" s="175"/>
      <c r="D34" s="177"/>
      <c r="E34" s="42"/>
      <c r="F34" s="42"/>
      <c r="G34" s="42"/>
      <c r="H34" s="42"/>
      <c r="I34" s="42"/>
      <c r="J34" s="42"/>
      <c r="K34" s="42"/>
      <c r="L34" s="42"/>
      <c r="M34" s="176"/>
    </row>
    <row r="35" spans="3:13">
      <c r="C35" s="175"/>
      <c r="D35" s="177" t="s">
        <v>502</v>
      </c>
      <c r="E35" s="42"/>
      <c r="F35" s="42" t="s">
        <v>359</v>
      </c>
      <c r="G35" s="42"/>
      <c r="H35" s="42"/>
      <c r="I35" s="42"/>
      <c r="J35" s="42"/>
      <c r="K35" s="42"/>
      <c r="L35" s="42"/>
      <c r="M35" s="176"/>
    </row>
    <row r="36" spans="3:13">
      <c r="C36" s="175"/>
      <c r="D36" s="177"/>
      <c r="E36" s="42"/>
      <c r="F36" s="42"/>
      <c r="G36" s="42"/>
      <c r="H36" s="42"/>
      <c r="I36" s="42"/>
      <c r="J36" s="42"/>
      <c r="K36" s="42"/>
      <c r="L36" s="42"/>
      <c r="M36" s="176"/>
    </row>
    <row r="37" spans="3:13">
      <c r="C37" s="175"/>
      <c r="D37" s="177" t="s">
        <v>503</v>
      </c>
      <c r="E37" s="42"/>
      <c r="F37" s="286" t="str">
        <f>"The municipality has not applied for Transitional Aid for "&amp;TEXT('KEY INPUTS'!D33,"0")</f>
        <v>The municipality has not applied for Transitional Aid for 2020</v>
      </c>
      <c r="G37" s="42"/>
      <c r="H37" s="42"/>
      <c r="I37" s="42"/>
      <c r="J37" s="42"/>
      <c r="K37" s="42"/>
      <c r="L37" s="42"/>
      <c r="M37" s="176"/>
    </row>
    <row r="38" spans="3:13">
      <c r="C38" s="175"/>
      <c r="D38" s="177"/>
      <c r="E38" s="42"/>
      <c r="F38" s="42"/>
      <c r="G38" s="42"/>
      <c r="H38" s="42"/>
      <c r="I38" s="42"/>
      <c r="J38" s="42"/>
      <c r="K38" s="42"/>
      <c r="L38" s="42"/>
      <c r="M38" s="176"/>
    </row>
    <row r="39" spans="3:13">
      <c r="C39" s="175"/>
      <c r="D39" s="42" t="s">
        <v>200</v>
      </c>
      <c r="E39" s="42"/>
      <c r="F39" s="42"/>
      <c r="G39" s="42"/>
      <c r="H39" s="42"/>
      <c r="I39" s="42"/>
      <c r="J39" s="42"/>
      <c r="K39" s="42"/>
      <c r="L39" s="42"/>
      <c r="M39" s="176"/>
    </row>
    <row r="40" spans="3:13">
      <c r="C40" s="175"/>
      <c r="D40" s="182" t="s">
        <v>960</v>
      </c>
      <c r="E40" s="42"/>
      <c r="F40" s="42"/>
      <c r="G40" s="42"/>
      <c r="H40" s="42"/>
      <c r="I40" s="42"/>
      <c r="J40" s="42"/>
      <c r="K40" s="42"/>
      <c r="L40" s="42"/>
      <c r="M40" s="176"/>
    </row>
    <row r="41" spans="3:13">
      <c r="C41" s="175"/>
      <c r="D41" s="42" t="s">
        <v>961</v>
      </c>
      <c r="E41" s="42"/>
      <c r="F41" s="42"/>
      <c r="G41" s="42"/>
      <c r="H41" s="42"/>
      <c r="I41" s="42"/>
      <c r="J41" s="42"/>
      <c r="K41" s="42"/>
      <c r="L41" s="42"/>
      <c r="M41" s="176"/>
    </row>
    <row r="42" spans="3:13">
      <c r="C42" s="175"/>
      <c r="D42" s="177"/>
      <c r="E42" s="42"/>
      <c r="F42" s="42"/>
      <c r="G42" s="42"/>
      <c r="H42" s="42"/>
      <c r="I42" s="42"/>
      <c r="J42" s="42"/>
      <c r="K42" s="42"/>
      <c r="L42" s="42"/>
      <c r="M42" s="176"/>
    </row>
    <row r="43" spans="3:13" ht="21" customHeight="1">
      <c r="C43" s="175"/>
      <c r="D43" s="181" t="s">
        <v>83</v>
      </c>
      <c r="E43" s="42"/>
      <c r="F43" s="42"/>
      <c r="G43" s="42"/>
      <c r="H43" s="1539" t="str">
        <f>'KEY INPUTS'!D9</f>
        <v>BOROUGH OF WATCHUNG</v>
      </c>
      <c r="I43" s="1539"/>
      <c r="J43" s="1539"/>
      <c r="K43" s="1539"/>
      <c r="L43" s="1539"/>
      <c r="M43" s="176"/>
    </row>
    <row r="44" spans="3:13" ht="21" customHeight="1">
      <c r="C44" s="175"/>
      <c r="D44" s="181" t="s">
        <v>84</v>
      </c>
      <c r="E44" s="42"/>
      <c r="F44" s="42"/>
      <c r="G44" s="42"/>
      <c r="H44" s="1528" t="s">
        <v>3406</v>
      </c>
      <c r="I44" s="1529"/>
      <c r="J44" s="1529"/>
      <c r="K44" s="1529"/>
      <c r="L44" s="1529"/>
      <c r="M44" s="176"/>
    </row>
    <row r="45" spans="3:13" ht="21" customHeight="1">
      <c r="C45" s="175"/>
      <c r="D45" s="181" t="s">
        <v>146</v>
      </c>
      <c r="E45" s="42"/>
      <c r="F45" s="42"/>
      <c r="G45" s="42"/>
      <c r="H45" s="1528" t="s">
        <v>3406</v>
      </c>
      <c r="I45" s="1529"/>
      <c r="J45" s="1529"/>
      <c r="K45" s="1529"/>
      <c r="L45" s="1529"/>
      <c r="M45" s="176"/>
    </row>
    <row r="46" spans="3:13" ht="21" customHeight="1">
      <c r="C46" s="175"/>
      <c r="D46" s="151" t="s">
        <v>85</v>
      </c>
      <c r="E46" s="42"/>
      <c r="F46" s="42"/>
      <c r="G46" s="42"/>
      <c r="H46" s="1528" t="s">
        <v>3406</v>
      </c>
      <c r="I46" s="1529"/>
      <c r="J46" s="1529"/>
      <c r="K46" s="1529"/>
      <c r="L46" s="1529"/>
      <c r="M46" s="176"/>
    </row>
    <row r="47" spans="3:13" ht="21" customHeight="1">
      <c r="C47" s="175"/>
      <c r="D47" s="151" t="s">
        <v>818</v>
      </c>
      <c r="E47" s="42"/>
      <c r="F47" s="42"/>
      <c r="G47" s="42"/>
      <c r="H47" s="1543" t="s">
        <v>3406</v>
      </c>
      <c r="I47" s="1528"/>
      <c r="J47" s="1528"/>
      <c r="K47" s="1528"/>
      <c r="L47" s="1528"/>
      <c r="M47" s="176"/>
    </row>
    <row r="48" spans="3:13">
      <c r="C48" s="175"/>
      <c r="D48" s="42"/>
      <c r="E48" s="42"/>
      <c r="F48" s="42"/>
      <c r="G48" s="42"/>
      <c r="H48" s="42"/>
      <c r="I48" s="42"/>
      <c r="J48" s="42"/>
      <c r="K48" s="42"/>
      <c r="L48" s="42"/>
      <c r="M48" s="176"/>
    </row>
    <row r="49" spans="3:15" ht="13.8" thickBot="1">
      <c r="C49" s="178"/>
      <c r="D49" s="179"/>
      <c r="E49" s="179"/>
      <c r="F49" s="179"/>
      <c r="G49" s="179"/>
      <c r="H49" s="179"/>
      <c r="I49" s="179"/>
      <c r="J49" s="179"/>
      <c r="K49" s="179"/>
      <c r="L49" s="179"/>
      <c r="M49" s="180"/>
    </row>
    <row r="50" spans="3:15" ht="13.8" thickBot="1">
      <c r="O50" s="760"/>
    </row>
    <row r="51" spans="3:15">
      <c r="C51" s="172"/>
      <c r="D51" s="173"/>
      <c r="E51" s="173"/>
      <c r="F51" s="173"/>
      <c r="G51" s="173"/>
      <c r="H51" s="173"/>
      <c r="I51" s="173"/>
      <c r="J51" s="173"/>
      <c r="K51" s="173"/>
      <c r="L51" s="173"/>
      <c r="M51" s="174"/>
    </row>
    <row r="52" spans="3:15">
      <c r="C52" s="175"/>
      <c r="D52" s="1538" t="s">
        <v>1042</v>
      </c>
      <c r="E52" s="1538"/>
      <c r="F52" s="1538"/>
      <c r="G52" s="1538"/>
      <c r="H52" s="1538"/>
      <c r="I52" s="1538"/>
      <c r="J52" s="1538"/>
      <c r="K52" s="1538"/>
      <c r="L52" s="1538"/>
      <c r="M52" s="176"/>
    </row>
    <row r="53" spans="3:15">
      <c r="C53" s="175"/>
      <c r="D53" s="42"/>
      <c r="E53" s="42"/>
      <c r="F53" s="42"/>
      <c r="G53" s="42"/>
      <c r="H53" s="42"/>
      <c r="I53" s="42"/>
      <c r="J53" s="42"/>
      <c r="K53" s="42"/>
      <c r="L53" s="42"/>
      <c r="M53" s="176"/>
    </row>
    <row r="54" spans="3:15">
      <c r="C54" s="175"/>
      <c r="D54" s="42" t="s">
        <v>3637</v>
      </c>
      <c r="E54" s="42"/>
      <c r="F54" s="42"/>
      <c r="G54" s="42"/>
      <c r="H54" s="42"/>
      <c r="I54" s="42"/>
      <c r="J54" s="42"/>
      <c r="K54" s="42"/>
      <c r="L54" s="42"/>
      <c r="M54" s="176"/>
    </row>
    <row r="55" spans="3:15">
      <c r="C55" s="175"/>
      <c r="D55" s="666"/>
      <c r="E55" s="666"/>
      <c r="F55" s="666"/>
      <c r="G55" s="182" t="s">
        <v>3776</v>
      </c>
      <c r="H55" s="42"/>
      <c r="I55" s="42"/>
      <c r="J55" s="42"/>
      <c r="K55" s="42"/>
      <c r="L55" s="42"/>
      <c r="M55" s="176"/>
    </row>
    <row r="56" spans="3:15">
      <c r="C56" s="175"/>
      <c r="D56" s="42" t="s">
        <v>148</v>
      </c>
      <c r="E56" s="42"/>
      <c r="F56" s="42"/>
      <c r="G56" s="42"/>
      <c r="H56" s="42"/>
      <c r="I56" s="42"/>
      <c r="J56" s="42"/>
      <c r="K56" s="42"/>
      <c r="L56" s="42"/>
      <c r="M56" s="176"/>
    </row>
    <row r="57" spans="3:15">
      <c r="C57" s="175"/>
      <c r="D57" s="42"/>
      <c r="E57" s="42"/>
      <c r="F57" s="42"/>
      <c r="G57" s="42"/>
      <c r="H57" s="42"/>
      <c r="I57" s="42"/>
      <c r="J57" s="42"/>
      <c r="K57" s="42"/>
      <c r="L57" s="42"/>
      <c r="M57" s="176"/>
    </row>
    <row r="58" spans="3:15">
      <c r="C58" s="175"/>
      <c r="D58" s="42"/>
      <c r="E58" s="42"/>
      <c r="F58" s="42"/>
      <c r="G58" s="42"/>
      <c r="H58" s="42"/>
      <c r="I58" s="42"/>
      <c r="J58" s="42"/>
      <c r="K58" s="42"/>
      <c r="L58" s="42"/>
      <c r="M58" s="176"/>
    </row>
    <row r="59" spans="3:15" ht="21" customHeight="1">
      <c r="C59" s="175"/>
      <c r="D59" s="181" t="s">
        <v>83</v>
      </c>
      <c r="E59" s="42"/>
      <c r="F59" s="42"/>
      <c r="G59" s="42"/>
      <c r="H59" s="1540" t="str">
        <f>+'KEY INPUTS'!D9</f>
        <v>BOROUGH OF WATCHUNG</v>
      </c>
      <c r="I59" s="1540"/>
      <c r="J59" s="1540"/>
      <c r="K59" s="1540"/>
      <c r="L59" s="1540"/>
      <c r="M59" s="176"/>
    </row>
    <row r="60" spans="3:15" ht="21" customHeight="1">
      <c r="C60" s="175"/>
      <c r="D60" s="181" t="s">
        <v>84</v>
      </c>
      <c r="E60" s="42"/>
      <c r="F60" s="42"/>
      <c r="G60" s="42"/>
      <c r="H60" s="1529" t="s">
        <v>3955</v>
      </c>
      <c r="I60" s="1529"/>
      <c r="J60" s="1529"/>
      <c r="K60" s="1529"/>
      <c r="L60" s="1529"/>
      <c r="M60" s="176"/>
      <c r="O60" s="760"/>
    </row>
    <row r="61" spans="3:15" ht="21" customHeight="1">
      <c r="C61" s="175"/>
      <c r="D61" s="181" t="s">
        <v>146</v>
      </c>
      <c r="E61" s="42"/>
      <c r="F61" s="42"/>
      <c r="G61" s="42"/>
      <c r="H61" s="1529" t="s">
        <v>3952</v>
      </c>
      <c r="I61" s="1529"/>
      <c r="J61" s="1529"/>
      <c r="K61" s="1529"/>
      <c r="L61" s="1529"/>
      <c r="M61" s="176"/>
    </row>
    <row r="62" spans="3:15" ht="21" customHeight="1">
      <c r="C62" s="175"/>
      <c r="D62" s="151" t="s">
        <v>85</v>
      </c>
      <c r="E62" s="42"/>
      <c r="F62" s="42"/>
      <c r="G62" s="42"/>
      <c r="H62" s="1529" t="s">
        <v>3956</v>
      </c>
      <c r="I62" s="1529"/>
      <c r="J62" s="1529"/>
      <c r="K62" s="1529"/>
      <c r="L62" s="1529"/>
      <c r="M62" s="176"/>
    </row>
    <row r="63" spans="3:15" ht="21" customHeight="1">
      <c r="C63" s="175"/>
      <c r="D63" s="151" t="s">
        <v>818</v>
      </c>
      <c r="E63" s="42"/>
      <c r="F63" s="42"/>
      <c r="G63" s="42"/>
      <c r="H63" s="1541">
        <v>43925</v>
      </c>
      <c r="I63" s="1529"/>
      <c r="J63" s="1529"/>
      <c r="K63" s="1529"/>
      <c r="L63" s="1529"/>
      <c r="M63" s="176"/>
    </row>
    <row r="64" spans="3:15">
      <c r="C64" s="175"/>
      <c r="D64" s="42"/>
      <c r="E64" s="42"/>
      <c r="F64" s="42"/>
      <c r="G64" s="42"/>
      <c r="H64" s="42"/>
      <c r="I64" s="42"/>
      <c r="J64" s="42"/>
      <c r="K64" s="42"/>
      <c r="L64" s="42"/>
      <c r="M64" s="176"/>
    </row>
    <row r="65" spans="3:13" ht="13.8" thickBot="1">
      <c r="C65" s="178"/>
      <c r="D65" s="179"/>
      <c r="E65" s="179"/>
      <c r="F65" s="179"/>
      <c r="G65" s="179"/>
      <c r="H65" s="179"/>
      <c r="I65" s="179"/>
      <c r="J65" s="179"/>
      <c r="K65" s="179"/>
      <c r="L65" s="179"/>
      <c r="M65" s="180"/>
    </row>
    <row r="66" spans="3:13" ht="13.8">
      <c r="C66" s="1507" t="s">
        <v>819</v>
      </c>
      <c r="D66" s="1507"/>
      <c r="E66" s="1507"/>
      <c r="F66" s="1507"/>
      <c r="G66" s="1507"/>
      <c r="H66" s="1507"/>
      <c r="I66" s="1507"/>
      <c r="J66" s="1507"/>
      <c r="K66" s="1507"/>
      <c r="L66" s="1507"/>
      <c r="M66" s="1507"/>
    </row>
  </sheetData>
  <sheetProtection algorithmName="SHA-512" hashValue="Rl1DlAbpsvWe+06Ff2XNXy3A1dbAgtLfUmdYIoJAIkHfjW3iu6MqR3Lx8zcpfzoxYBA4WJsid1OdWTJFAqg6rw==" saltValue="7kV1UgxpaNSDqKehzwLJIw==" spinCount="100000" sheet="1" objects="1" scenarios="1"/>
  <customSheetViews>
    <customSheetView guid="{AC653BD0-46E3-42CB-9C76-32121A57B65A}" topLeftCell="A31">
      <selection activeCell="H63" sqref="H63:L63"/>
      <pageMargins left="0.25" right="0.25" top="0.5" bottom="0.5" header="0.25" footer="0.25"/>
      <pageSetup paperSize="5" orientation="portrait" r:id="rId1"/>
      <headerFooter alignWithMargins="0"/>
    </customSheetView>
    <customSheetView guid="{B165479B-DC25-403C-9595-F1A88A4AA9A2}" topLeftCell="A7">
      <pageMargins left="0.25" right="0.25" top="0.5" bottom="0.5" header="0.25" footer="0.25"/>
      <pageSetup paperSize="5" orientation="portrait" r:id="rId2"/>
      <headerFooter alignWithMargins="0"/>
    </customSheetView>
    <customSheetView guid="{A64E4C9E-A3DA-4AAA-8607-F524450B9436}" topLeftCell="A7">
      <pageMargins left="0.25" right="0.25" top="0.5" bottom="0.5" header="0.25" footer="0.25"/>
      <pageSetup paperSize="5" orientation="portrait" r:id="rId3"/>
      <headerFooter alignWithMargins="0"/>
    </customSheetView>
    <customSheetView guid="{AB4FBD91-4533-473A-9702-569FF6402073}" topLeftCell="A7">
      <pageMargins left="0.25" right="0.25" top="0.5" bottom="0.5" header="0.25" footer="0.25"/>
      <pageSetup paperSize="5" orientation="portrait" r:id="rId4"/>
      <headerFooter alignWithMargins="0"/>
    </customSheetView>
  </customSheetViews>
  <mergeCells count="16">
    <mergeCell ref="C4:M4"/>
    <mergeCell ref="C5:M5"/>
    <mergeCell ref="C6:M6"/>
    <mergeCell ref="D13:L13"/>
    <mergeCell ref="H62:L62"/>
    <mergeCell ref="H45:L45"/>
    <mergeCell ref="H61:L61"/>
    <mergeCell ref="H47:L47"/>
    <mergeCell ref="C66:M66"/>
    <mergeCell ref="D52:L52"/>
    <mergeCell ref="H43:L43"/>
    <mergeCell ref="H44:L44"/>
    <mergeCell ref="H46:L46"/>
    <mergeCell ref="H60:L60"/>
    <mergeCell ref="H59:L59"/>
    <mergeCell ref="H63:L63"/>
  </mergeCells>
  <phoneticPr fontId="0" type="noConversion"/>
  <pageMargins left="0.25" right="0.25" top="0.5" bottom="0.5" header="0.25" footer="0.25"/>
  <pageSetup paperSize="5" orientation="portrait" r:id="rId5"/>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+'11.8 Grants Approp Rsrv'!F27</f>
        <v>294944.29999999993</v>
      </c>
      <c r="G8" s="1029">
        <f>+'11.8 Grants Approp Rsrv'!G27</f>
        <v>216254.39</v>
      </c>
      <c r="H8" s="1029">
        <f>+'11.8 Grants Approp Rsrv'!H27</f>
        <v>33316.959999999999</v>
      </c>
      <c r="I8" s="1029">
        <f>+'11.8 Grants Approp Rsrv'!I27</f>
        <v>169129.99000000002</v>
      </c>
      <c r="J8" s="1029">
        <f>+'11.8 Grants Approp Rsrv'!J27</f>
        <v>0</v>
      </c>
      <c r="K8" s="1029">
        <f>+'11.8 Grants Approp Rsrv'!K27</f>
        <v>0</v>
      </c>
      <c r="L8" s="1030">
        <f>+'11.8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3580</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Vn6GSR4qUI2cGP6Z0AmsZ4dVx5iOHzNayF5do1KRtG8VtqDEvrbpb1easjDuCAZtyS9eKtU5yUdrTrpgh3zCEw==" saltValue="fl1oGkrtXeAx8zDe/8qwQ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+'11.9 Grants Approp Rsrv'!F27</f>
        <v>294944.29999999993</v>
      </c>
      <c r="G8" s="1029">
        <f>+'11.9 Grants Approp Rsrv'!G27</f>
        <v>216254.39</v>
      </c>
      <c r="H8" s="1029">
        <f>+'11.9 Grants Approp Rsrv'!H27</f>
        <v>33316.959999999999</v>
      </c>
      <c r="I8" s="1029">
        <f>+'11.9 Grants Approp Rsrv'!I27</f>
        <v>169129.99000000002</v>
      </c>
      <c r="J8" s="1029">
        <f>+'11.9 Grants Approp Rsrv'!J27</f>
        <v>0</v>
      </c>
      <c r="K8" s="1029">
        <f>+'11.9 Grants Approp Rsrv'!K27</f>
        <v>0</v>
      </c>
      <c r="L8" s="1030">
        <f>+'11.9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3581</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dTLAC/k7d2EgwacMfOEMfwcP71LpsmpbRq6e9OXn3sst5cZabJkfAmG7LB2p0c5hWNWCcAw++Apua45DXFOh3Q==" saltValue="BcENV/XPLGkqQDITtxFLz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+'11.10 Grants Approp Rsrv'!F27</f>
        <v>294944.29999999993</v>
      </c>
      <c r="G8" s="1029">
        <f>+'11.10 Grants Approp Rsrv'!G27</f>
        <v>216254.39</v>
      </c>
      <c r="H8" s="1029">
        <f>+'11.10 Grants Approp Rsrv'!H27</f>
        <v>33316.959999999999</v>
      </c>
      <c r="I8" s="1029">
        <f>+'11.10 Grants Approp Rsrv'!I27</f>
        <v>169129.99000000002</v>
      </c>
      <c r="J8" s="1029">
        <f>+'11.10 Grants Approp Rsrv'!J27</f>
        <v>0</v>
      </c>
      <c r="K8" s="1029">
        <f>+'11.10 Grants Approp Rsrv'!K27</f>
        <v>0</v>
      </c>
      <c r="L8" s="1030">
        <f>+'11.10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3582</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jEEZ6bwdqCOPHJeLNAwI8xXFFy4R1D5nY2qB0FYhUqhHP1XZTU60fYGoYBACjui6cdErYs0OElDiRxJdTT9Ebw==" saltValue="2rI7CbUxPoIjpgHzdXH0Q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+'11.11 Grants Approp Rsrv'!F27</f>
        <v>294944.29999999993</v>
      </c>
      <c r="G8" s="1029">
        <f>+'11.11 Grants Approp Rsrv'!G27</f>
        <v>216254.39</v>
      </c>
      <c r="H8" s="1029">
        <f>+'11.11 Grants Approp Rsrv'!H27</f>
        <v>33316.959999999999</v>
      </c>
      <c r="I8" s="1029">
        <f>+'11.11 Grants Approp Rsrv'!I27</f>
        <v>169129.99000000002</v>
      </c>
      <c r="J8" s="1029">
        <f>+'11.11 Grants Approp Rsrv'!J27</f>
        <v>0</v>
      </c>
      <c r="K8" s="1029">
        <f>+'11.11 Grants Approp Rsrv'!K27</f>
        <v>0</v>
      </c>
      <c r="L8" s="1030">
        <f>+'11.11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3583</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E5nL18a3GmFhPU9VrxnuvvLPITf/x/1pTSsO1//pmsggnUtK83xzJ40QcveGLzLsE6wteJn4K/00bhM18GCgMA==" saltValue="7wELIEQfo1SSFG28WtLvR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+'11.12 Grants Approp Rsrv'!F27</f>
        <v>294944.29999999993</v>
      </c>
      <c r="G8" s="1029">
        <f>+'11.12 Grants Approp Rsrv'!G27</f>
        <v>216254.39</v>
      </c>
      <c r="H8" s="1029">
        <f>+'11.12 Grants Approp Rsrv'!H27</f>
        <v>33316.959999999999</v>
      </c>
      <c r="I8" s="1029">
        <f>+'11.12 Grants Approp Rsrv'!I27</f>
        <v>169129.99000000002</v>
      </c>
      <c r="J8" s="1029">
        <f>+'11.12 Grants Approp Rsrv'!J27</f>
        <v>0</v>
      </c>
      <c r="K8" s="1029">
        <f>+'11.12 Grants Approp Rsrv'!K27</f>
        <v>0</v>
      </c>
      <c r="L8" s="1030">
        <f>+'11.12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3584</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zEYUXf91xtXYJAkvW21D6Y3vBBQsdnOaKyRqmRI2dVoqMxHAgArmr9hgZiTEkektqVvhUBo/tRUGfNjPoyAtYQ==" saltValue="ZEsP8w0g/pYgPK31wqaxT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+'11.13 Grants Approp Rsrv'!F27</f>
        <v>294944.29999999993</v>
      </c>
      <c r="G8" s="1029">
        <f>+'11.13 Grants Approp Rsrv'!G27</f>
        <v>216254.39</v>
      </c>
      <c r="H8" s="1029">
        <f>+'11.13 Grants Approp Rsrv'!H27</f>
        <v>33316.959999999999</v>
      </c>
      <c r="I8" s="1029">
        <f>+'11.13 Grants Approp Rsrv'!I27</f>
        <v>169129.99000000002</v>
      </c>
      <c r="J8" s="1029">
        <f>+'11.13 Grants Approp Rsrv'!J27</f>
        <v>0</v>
      </c>
      <c r="K8" s="1029">
        <f>+'11.13 Grants Approp Rsrv'!K27</f>
        <v>0</v>
      </c>
      <c r="L8" s="1030">
        <f>+'11.13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3585</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LUVqBkJclJiNKEWxpAL9gakf3sM8dCc8EqpuP43+dylP1wnMNW6ifaNURrYzFi9tDC4/jnQcF48buwdk8SIVXA==" saltValue="KWUXDhKupfjOZhkD20szwg=="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+'11.14 Grants Approp Rsrv'!F27</f>
        <v>294944.29999999993</v>
      </c>
      <c r="G8" s="1029">
        <f>+'11.14 Grants Approp Rsrv'!G27</f>
        <v>216254.39</v>
      </c>
      <c r="H8" s="1029">
        <f>+'11.14 Grants Approp Rsrv'!H27</f>
        <v>33316.959999999999</v>
      </c>
      <c r="I8" s="1029">
        <f>+'11.14 Grants Approp Rsrv'!I27</f>
        <v>169129.99000000002</v>
      </c>
      <c r="J8" s="1029">
        <f>+'11.14 Grants Approp Rsrv'!J27</f>
        <v>0</v>
      </c>
      <c r="K8" s="1029">
        <f>+'11.14 Grants Approp Rsrv'!K27</f>
        <v>0</v>
      </c>
      <c r="L8" s="1030">
        <f>+'11.14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3586</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bX6kUR96rR0yhy5owgzfe59Q9Xc2i22XlV3zeGzJ6JlXmI2RPfwPkQT00YLZHPNfeSqO/Q/2tSJ0E7/4PGbefg==" saltValue="9/S04QJMMh7Nf5CU9faPRg=="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+'11.15 Grants Approp Rsrv'!F27</f>
        <v>294944.29999999993</v>
      </c>
      <c r="G8" s="1029">
        <f>+'11.15 Grants Approp Rsrv'!G27</f>
        <v>216254.39</v>
      </c>
      <c r="H8" s="1029">
        <f>+'11.15 Grants Approp Rsrv'!H27</f>
        <v>33316.959999999999</v>
      </c>
      <c r="I8" s="1029">
        <f>+'11.15 Grants Approp Rsrv'!I27</f>
        <v>169129.99000000002</v>
      </c>
      <c r="J8" s="1029">
        <f>+'11.15 Grants Approp Rsrv'!J27</f>
        <v>0</v>
      </c>
      <c r="K8" s="1029">
        <f>+'11.15 Grants Approp Rsrv'!K27</f>
        <v>0</v>
      </c>
      <c r="L8" s="1030">
        <f>+'11.15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3587</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hNtFnieXfFPETjlCYDJ0Zk1QNW4ft28suoL/IkqGMGgpGPJMXAPJptfM2LcnigjDhFJFjZiI0jtrA6r51YpCoQ==" saltValue="g0RmAeyFoXgwuMRuh6S8I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+'11.16 Grants Approp Rsrv'!F27</f>
        <v>294944.29999999993</v>
      </c>
      <c r="G8" s="1029">
        <f>+'11.16 Grants Approp Rsrv'!G27</f>
        <v>216254.39</v>
      </c>
      <c r="H8" s="1029">
        <f>+'11.16 Grants Approp Rsrv'!H27</f>
        <v>33316.959999999999</v>
      </c>
      <c r="I8" s="1029">
        <f>+'11.16 Grants Approp Rsrv'!I27</f>
        <v>169129.99000000002</v>
      </c>
      <c r="J8" s="1029">
        <f>+'11.16 Grants Approp Rsrv'!J27</f>
        <v>0</v>
      </c>
      <c r="K8" s="1029">
        <f>+'11.16 Grants Approp Rsrv'!K27</f>
        <v>0</v>
      </c>
      <c r="L8" s="1030">
        <f>+'11.16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3588</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7g9Bj13O/Qn4asZtub3SIZhEEo0WxMJfwUjwcFcwk6tt89oxYMu4nNUbjGfHS3U0X8NlmzFFzgCCCF38kkgAwQ==" saltValue="NBAgm1AeFRu9SEC+hjD44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2: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+'11.17 Grants Approp Rsrv'!F27</f>
        <v>294944.29999999993</v>
      </c>
      <c r="G8" s="1029">
        <f>+'11.17 Grants Approp Rsrv'!G27</f>
        <v>216254.39</v>
      </c>
      <c r="H8" s="1029">
        <f>+'11.17 Grants Approp Rsrv'!H27</f>
        <v>33316.959999999999</v>
      </c>
      <c r="I8" s="1029">
        <f>+'11.17 Grants Approp Rsrv'!I27</f>
        <v>169129.99000000002</v>
      </c>
      <c r="J8" s="1029">
        <f>+'11.17 Grants Approp Rsrv'!J27</f>
        <v>0</v>
      </c>
      <c r="K8" s="1029">
        <f>+'11.17 Grants Approp Rsrv'!K27</f>
        <v>0</v>
      </c>
      <c r="L8" s="1030">
        <f>+'11.17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3589</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N0Pb9ckQPMpDsl7TVMzbDfxI4qQgr3oddLTB+9yH86Aq4wd9MoAr9nbc68whgrjLsErN1xPM3FDn+VKtDW8BfA==" saltValue="MRMucRJG6Y0N+3tMKBjzcA=="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B4:P71"/>
  <sheetViews>
    <sheetView topLeftCell="A37" zoomScaleNormal="100" workbookViewId="0">
      <selection activeCell="K61" sqref="K61"/>
    </sheetView>
  </sheetViews>
  <sheetFormatPr defaultRowHeight="13.2"/>
  <cols>
    <col min="1" max="1" width="4" customWidth="1"/>
    <col min="2" max="2" width="5.44140625" customWidth="1"/>
    <col min="3" max="3" width="2.6640625" customWidth="1"/>
    <col min="4" max="4" width="12.6640625" customWidth="1"/>
    <col min="5" max="5" width="15.44140625" bestFit="1" customWidth="1"/>
    <col min="6" max="6" width="1.6640625" customWidth="1"/>
    <col min="7" max="7" width="4.6640625" customWidth="1"/>
    <col min="8" max="8" width="12.6640625" customWidth="1"/>
    <col min="9" max="9" width="4.5546875" customWidth="1"/>
    <col min="10" max="10" width="1.6640625" customWidth="1"/>
    <col min="11" max="11" width="16.6640625" customWidth="1"/>
    <col min="13" max="13" width="9.44140625" customWidth="1"/>
    <col min="14" max="14" width="12.88671875" bestFit="1" customWidth="1"/>
    <col min="16" max="16" width="11.88671875" hidden="1" customWidth="1"/>
  </cols>
  <sheetData>
    <row r="4" spans="2:13">
      <c r="B4" s="1516" t="str">
        <f>IF('KEY INPUTS'!D13=0,"NO ENTRY",'KEY INPUTS'!D13)</f>
        <v>NO ENTRY</v>
      </c>
      <c r="C4" s="1516"/>
      <c r="D4" s="1516"/>
      <c r="E4" s="1516"/>
    </row>
    <row r="5" spans="2:13">
      <c r="B5" s="1547" t="s">
        <v>453</v>
      </c>
      <c r="C5" s="1547"/>
      <c r="D5" s="1547"/>
      <c r="E5" s="1547"/>
    </row>
    <row r="8" spans="2:13">
      <c r="B8" s="1516" t="str">
        <f>+'KEY INPUTS'!D9</f>
        <v>BOROUGH OF WATCHUNG</v>
      </c>
      <c r="C8" s="1516"/>
      <c r="D8" s="1516"/>
      <c r="E8" s="1516"/>
    </row>
    <row r="9" spans="2:13">
      <c r="B9" s="1547" t="s">
        <v>454</v>
      </c>
      <c r="C9" s="1547"/>
      <c r="D9" s="1547"/>
      <c r="E9" s="1547"/>
    </row>
    <row r="12" spans="2:13">
      <c r="B12" s="1516" t="str">
        <f>+'KEY INPUTS'!D10</f>
        <v>SOMERSET</v>
      </c>
      <c r="C12" s="1516"/>
      <c r="D12" s="1516"/>
      <c r="E12" s="1516"/>
    </row>
    <row r="13" spans="2:13">
      <c r="B13" s="1547" t="s">
        <v>455</v>
      </c>
      <c r="C13" s="1547"/>
      <c r="D13" s="1547"/>
      <c r="E13" s="1547"/>
    </row>
    <row r="16" spans="2:13" ht="17.100000000000001" customHeight="1">
      <c r="B16" s="1507" t="s">
        <v>456</v>
      </c>
      <c r="C16" s="1507"/>
      <c r="D16" s="1507"/>
      <c r="E16" s="1507"/>
      <c r="F16" s="1507"/>
      <c r="G16" s="1507"/>
      <c r="H16" s="1507"/>
      <c r="I16" s="1507"/>
      <c r="J16" s="1507"/>
      <c r="K16" s="1507"/>
      <c r="L16" s="1507"/>
      <c r="M16" s="1507"/>
    </row>
    <row r="17" spans="2:16" ht="17.100000000000001" customHeight="1">
      <c r="B17" s="1507" t="s">
        <v>457</v>
      </c>
      <c r="C17" s="1507"/>
      <c r="D17" s="1507"/>
      <c r="E17" s="1507"/>
      <c r="F17" s="1507"/>
      <c r="G17" s="1507"/>
      <c r="H17" s="1507"/>
      <c r="I17" s="1507"/>
      <c r="J17" s="1507"/>
      <c r="K17" s="1507"/>
      <c r="L17" s="1507"/>
      <c r="M17" s="1507"/>
    </row>
    <row r="20" spans="2:16">
      <c r="G20" t="s">
        <v>458</v>
      </c>
      <c r="I20" s="1544">
        <f>+'KEY INPUTS'!D29</f>
        <v>43830</v>
      </c>
      <c r="J20" s="1544"/>
      <c r="K20" s="1544"/>
    </row>
    <row r="23" spans="2:16">
      <c r="E23" s="249" t="s">
        <v>623</v>
      </c>
      <c r="G23" s="1545" t="s">
        <v>903</v>
      </c>
      <c r="H23" s="1545"/>
      <c r="I23" s="85"/>
      <c r="K23" s="85" t="s">
        <v>181</v>
      </c>
    </row>
    <row r="24" spans="2:16">
      <c r="E24" s="1" t="s">
        <v>964</v>
      </c>
      <c r="I24" s="1"/>
    </row>
    <row r="25" spans="2:16">
      <c r="E25" s="1" t="s">
        <v>302</v>
      </c>
      <c r="G25" s="1546" t="s">
        <v>904</v>
      </c>
      <c r="H25" s="1546"/>
      <c r="I25" s="1"/>
      <c r="K25" s="1" t="s">
        <v>965</v>
      </c>
    </row>
    <row r="26" spans="2:16">
      <c r="E26" s="1" t="s">
        <v>641</v>
      </c>
      <c r="G26" s="1546" t="s">
        <v>966</v>
      </c>
      <c r="H26" s="1546"/>
      <c r="K26" s="1" t="s">
        <v>966</v>
      </c>
    </row>
    <row r="27" spans="2:16">
      <c r="E27" s="1" t="s">
        <v>967</v>
      </c>
      <c r="G27" s="1546" t="s">
        <v>302</v>
      </c>
      <c r="H27" s="1546"/>
      <c r="K27" s="1" t="s">
        <v>302</v>
      </c>
    </row>
    <row r="29" spans="2:16">
      <c r="B29" s="1546" t="s">
        <v>987</v>
      </c>
      <c r="C29" s="1546"/>
      <c r="D29" s="38" t="s">
        <v>482</v>
      </c>
      <c r="E29" s="376" t="s">
        <v>3406</v>
      </c>
      <c r="F29" t="s">
        <v>482</v>
      </c>
      <c r="G29" s="1548">
        <v>166129.99</v>
      </c>
      <c r="H29" s="1548"/>
      <c r="J29" t="s">
        <v>482</v>
      </c>
      <c r="K29" s="376" t="s">
        <v>3406</v>
      </c>
      <c r="N29" s="228"/>
      <c r="P29" s="312" t="e">
        <f>+#REF!-G29</f>
        <v>#REF!</v>
      </c>
    </row>
    <row r="30" spans="2:16">
      <c r="H30" s="191"/>
      <c r="K30" s="228"/>
    </row>
    <row r="32" spans="2:16" ht="21" customHeight="1">
      <c r="G32" s="321" t="s">
        <v>1145</v>
      </c>
      <c r="H32" s="324"/>
      <c r="I32" s="324"/>
      <c r="J32" s="324"/>
      <c r="K32" s="324"/>
      <c r="L32" s="324"/>
      <c r="M32" s="324"/>
    </row>
    <row r="33" spans="2:15" s="318" customFormat="1" ht="21" customHeight="1">
      <c r="G33" s="321" t="s">
        <v>1146</v>
      </c>
      <c r="H33" s="324"/>
      <c r="I33" s="324"/>
      <c r="J33" s="324"/>
      <c r="K33" s="324"/>
      <c r="L33" s="324"/>
      <c r="M33" s="324"/>
    </row>
    <row r="34" spans="2:15" ht="21" customHeight="1">
      <c r="G34" s="711" t="s">
        <v>3406</v>
      </c>
      <c r="H34" t="s">
        <v>988</v>
      </c>
    </row>
    <row r="35" spans="2:15" ht="21" customHeight="1">
      <c r="G35" s="716" t="s">
        <v>3406</v>
      </c>
      <c r="H35" t="s">
        <v>989</v>
      </c>
    </row>
    <row r="36" spans="2:15" ht="21" customHeight="1">
      <c r="G36" s="711" t="s">
        <v>3893</v>
      </c>
      <c r="H36" t="s">
        <v>990</v>
      </c>
    </row>
    <row r="37" spans="2:15">
      <c r="H37" t="s">
        <v>991</v>
      </c>
    </row>
    <row r="40" spans="2:15">
      <c r="B40" t="s">
        <v>897</v>
      </c>
      <c r="D40" s="331" t="s">
        <v>1147</v>
      </c>
      <c r="E40" s="331"/>
      <c r="F40" s="331"/>
      <c r="G40" s="331"/>
      <c r="H40" s="322"/>
      <c r="I40" s="322"/>
      <c r="J40" s="322"/>
      <c r="K40" s="322"/>
      <c r="L40" s="322"/>
      <c r="M40" s="322"/>
      <c r="N40" s="322"/>
      <c r="O40" s="322"/>
    </row>
    <row r="41" spans="2:15">
      <c r="D41" s="331" t="s">
        <v>1148</v>
      </c>
      <c r="E41" s="331"/>
      <c r="F41" s="331"/>
      <c r="G41" s="331"/>
      <c r="H41" s="322"/>
      <c r="I41" s="322"/>
      <c r="J41" s="322"/>
      <c r="K41" s="322"/>
      <c r="L41" s="322"/>
      <c r="M41" s="322"/>
      <c r="N41" s="322"/>
      <c r="O41" s="322"/>
    </row>
    <row r="42" spans="2:15">
      <c r="D42" s="333" t="s">
        <v>1149</v>
      </c>
      <c r="E42" s="331"/>
      <c r="F42" s="331"/>
      <c r="G42" s="331"/>
      <c r="H42" s="322"/>
      <c r="I42" s="322"/>
      <c r="J42" s="322"/>
      <c r="K42" s="322"/>
      <c r="L42" s="322"/>
      <c r="M42" s="322"/>
      <c r="N42" s="322"/>
      <c r="O42" s="322"/>
    </row>
    <row r="43" spans="2:15">
      <c r="D43" s="333" t="s">
        <v>1150</v>
      </c>
      <c r="E43" s="331"/>
      <c r="F43" s="331"/>
      <c r="G43" s="331"/>
      <c r="H43" s="322"/>
      <c r="I43" s="322"/>
      <c r="J43" s="322"/>
      <c r="K43" s="322"/>
      <c r="L43" s="322"/>
      <c r="M43" s="322"/>
      <c r="N43" s="322"/>
      <c r="O43" s="322"/>
    </row>
    <row r="44" spans="2:15">
      <c r="D44" s="333" t="s">
        <v>1151</v>
      </c>
      <c r="E44" s="331"/>
      <c r="F44" s="331"/>
      <c r="G44" s="331"/>
      <c r="H44" s="322"/>
      <c r="I44" s="322"/>
      <c r="J44" s="322"/>
      <c r="K44" s="322"/>
      <c r="L44" s="322"/>
      <c r="M44" s="322"/>
      <c r="N44" s="322"/>
      <c r="O44" s="322"/>
    </row>
    <row r="45" spans="2:15">
      <c r="D45" s="333" t="s">
        <v>1152</v>
      </c>
      <c r="E45" s="331"/>
      <c r="F45" s="331"/>
      <c r="G45" s="331"/>
      <c r="H45" s="322"/>
      <c r="I45" s="322"/>
      <c r="J45" s="322"/>
      <c r="K45" s="322"/>
      <c r="L45" s="322"/>
      <c r="M45" s="322"/>
      <c r="N45" s="322"/>
      <c r="O45" s="322"/>
    </row>
    <row r="46" spans="2:15" s="322" customFormat="1">
      <c r="D46" s="333"/>
      <c r="E46" s="331"/>
      <c r="F46" s="331"/>
      <c r="G46" s="331"/>
    </row>
    <row r="47" spans="2:15">
      <c r="B47" s="85" t="s">
        <v>623</v>
      </c>
      <c r="D47" t="s">
        <v>642</v>
      </c>
    </row>
    <row r="48" spans="2:15">
      <c r="D48" t="s">
        <v>968</v>
      </c>
    </row>
    <row r="49" spans="2:11">
      <c r="D49" t="s">
        <v>969</v>
      </c>
    </row>
    <row r="51" spans="2:11">
      <c r="B51" s="85" t="s">
        <v>903</v>
      </c>
      <c r="D51" t="s">
        <v>643</v>
      </c>
    </row>
    <row r="52" spans="2:11">
      <c r="D52" t="s">
        <v>138</v>
      </c>
    </row>
    <row r="53" spans="2:11">
      <c r="D53" s="118" t="s">
        <v>139</v>
      </c>
    </row>
    <row r="55" spans="2:11">
      <c r="B55" s="85" t="s">
        <v>181</v>
      </c>
      <c r="D55" t="s">
        <v>140</v>
      </c>
    </row>
    <row r="56" spans="2:11">
      <c r="D56" t="s">
        <v>141</v>
      </c>
    </row>
    <row r="60" spans="2:11">
      <c r="C60" s="1536" t="s">
        <v>3952</v>
      </c>
      <c r="D60" s="1533"/>
      <c r="E60" s="1533"/>
      <c r="F60" s="1533"/>
      <c r="K60" s="1505">
        <v>43925</v>
      </c>
    </row>
    <row r="61" spans="2:11">
      <c r="C61" s="1547" t="s">
        <v>986</v>
      </c>
      <c r="D61" s="1547"/>
      <c r="E61" s="1547"/>
      <c r="F61" s="1547"/>
      <c r="K61" s="1" t="s">
        <v>18</v>
      </c>
    </row>
    <row r="71" spans="2:13" ht="13.8">
      <c r="B71" s="1507" t="s">
        <v>86</v>
      </c>
      <c r="C71" s="1507"/>
      <c r="D71" s="1507"/>
      <c r="E71" s="1507"/>
      <c r="F71" s="1507"/>
      <c r="G71" s="1507"/>
      <c r="H71" s="1507"/>
      <c r="I71" s="1507"/>
      <c r="J71" s="1507"/>
      <c r="K71" s="1507"/>
      <c r="L71" s="1507"/>
      <c r="M71" s="1507"/>
    </row>
  </sheetData>
  <sheetProtection password="CAF9" sheet="1" objects="1" scenarios="1"/>
  <customSheetViews>
    <customSheetView guid="{AC653BD0-46E3-42CB-9C76-32121A57B65A}" hiddenColumns="1">
      <selection activeCell="B1" sqref="B1"/>
      <pageMargins left="0.25" right="0.25" top="0.5" bottom="0.5" header="0.25" footer="0.25"/>
      <pageSetup paperSize="5" orientation="portrait" r:id="rId1"/>
      <headerFooter alignWithMargins="0"/>
    </customSheetView>
    <customSheetView guid="{B165479B-DC25-403C-9595-F1A88A4AA9A2}" hiddenColumns="1">
      <selection activeCell="G30" sqref="G30"/>
      <pageMargins left="0.25" right="0.25" top="0.5" bottom="0.5" header="0.25" footer="0.25"/>
      <pageSetup paperSize="5" orientation="portrait" r:id="rId2"/>
      <headerFooter alignWithMargins="0"/>
    </customSheetView>
    <customSheetView guid="{A64E4C9E-A3DA-4AAA-8607-F524450B9436}" hiddenColumns="1">
      <selection activeCell="G30" sqref="G30"/>
      <pageMargins left="0.25" right="0.25" top="0.5" bottom="0.5" header="0.25" footer="0.25"/>
      <pageSetup paperSize="5" orientation="portrait" r:id="rId3"/>
      <headerFooter alignWithMargins="0"/>
    </customSheetView>
    <customSheetView guid="{AB4FBD91-4533-473A-9702-569FF6402073}" hiddenColumns="1">
      <selection activeCell="G30" sqref="G30"/>
      <pageMargins left="0.25" right="0.25" top="0.5" bottom="0.5" header="0.25" footer="0.25"/>
      <pageSetup paperSize="5" orientation="portrait" r:id="rId4"/>
      <headerFooter alignWithMargins="0"/>
    </customSheetView>
  </customSheetViews>
  <mergeCells count="18">
    <mergeCell ref="B16:M16"/>
    <mergeCell ref="B17:M17"/>
    <mergeCell ref="B4:E4"/>
    <mergeCell ref="B5:E5"/>
    <mergeCell ref="B8:E8"/>
    <mergeCell ref="B9:E9"/>
    <mergeCell ref="B12:E12"/>
    <mergeCell ref="B13:E13"/>
    <mergeCell ref="B71:M71"/>
    <mergeCell ref="I20:K20"/>
    <mergeCell ref="G23:H23"/>
    <mergeCell ref="G26:H26"/>
    <mergeCell ref="G27:H27"/>
    <mergeCell ref="G25:H25"/>
    <mergeCell ref="C60:F60"/>
    <mergeCell ref="C61:F61"/>
    <mergeCell ref="B29:C29"/>
    <mergeCell ref="G29:H29"/>
  </mergeCells>
  <phoneticPr fontId="0" type="noConversion"/>
  <pageMargins left="0.25" right="0.25" top="0.5" bottom="0.5" header="0.25" footer="0.25"/>
  <pageSetup paperSize="5" orientation="portrait" r:id="rId5"/>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+'11.18 Grants Approp Rsrv'!F27</f>
        <v>294944.29999999993</v>
      </c>
      <c r="G8" s="1029">
        <f>+'11.18 Grants Approp Rsrv'!G27</f>
        <v>216254.39</v>
      </c>
      <c r="H8" s="1029">
        <f>+'11.18 Grants Approp Rsrv'!H27</f>
        <v>33316.959999999999</v>
      </c>
      <c r="I8" s="1029">
        <f>+'11.18 Grants Approp Rsrv'!I27</f>
        <v>169129.99000000002</v>
      </c>
      <c r="J8" s="1029">
        <f>+'11.18 Grants Approp Rsrv'!J27</f>
        <v>0</v>
      </c>
      <c r="K8" s="1029">
        <f>+'11.18 Grants Approp Rsrv'!K27</f>
        <v>0</v>
      </c>
      <c r="L8" s="1030">
        <f>+'11.18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3591</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pDmIQ+cWPmvg8FFBVE4/R+skCuCNFqrLh9ZPxqVx5xsl8skmXnSGx1oemHQiKF44vMxgAbtIB77r9yXj96vPqg==" saltValue="8lJvq6liEHvRZDZyzGYho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+'11.19 Grants Approp Rsrv'!F27</f>
        <v>294944.29999999993</v>
      </c>
      <c r="G8" s="1029">
        <f>+'11.19 Grants Approp Rsrv'!G27</f>
        <v>216254.39</v>
      </c>
      <c r="H8" s="1029">
        <f>+'11.19 Grants Approp Rsrv'!H27</f>
        <v>33316.959999999999</v>
      </c>
      <c r="I8" s="1029">
        <f>+'11.19 Grants Approp Rsrv'!I27</f>
        <v>169129.99000000002</v>
      </c>
      <c r="J8" s="1029">
        <f>+'11.19 Grants Approp Rsrv'!J27</f>
        <v>0</v>
      </c>
      <c r="K8" s="1029">
        <f>+'11.19 Grants Approp Rsrv'!K27</f>
        <v>0</v>
      </c>
      <c r="L8" s="1030">
        <f>+'11.19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3590</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zrWI/35T6r7PSVE4kLl247oxGdaD/d/GgMfcUYmuZKqqTCAAGb2N/OGDhtX8TyyWhV6uPFOlgP57admkUZ06vA==" saltValue="WO9jKpZgDuOTmSW5n3ph1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+'11.20 Grants Approp Rsrv'!F27</f>
        <v>294944.29999999993</v>
      </c>
      <c r="G8" s="1029">
        <f>+'11.20 Grants Approp Rsrv'!G27</f>
        <v>216254.39</v>
      </c>
      <c r="H8" s="1029">
        <f>+'11.20 Grants Approp Rsrv'!H27</f>
        <v>33316.959999999999</v>
      </c>
      <c r="I8" s="1029">
        <f>+'11.20 Grants Approp Rsrv'!I27</f>
        <v>169129.99000000002</v>
      </c>
      <c r="J8" s="1029">
        <f>+'11.20 Grants Approp Rsrv'!J27</f>
        <v>0</v>
      </c>
      <c r="K8" s="1029">
        <f>+'11.20 Grants Approp Rsrv'!K27</f>
        <v>0</v>
      </c>
      <c r="L8" s="1030">
        <f>+'11.20 Grants Approp Rsrv'!L27</f>
        <v>375385.66</v>
      </c>
      <c r="M8" s="710"/>
    </row>
    <row r="9" spans="1:15" ht="21" customHeight="1">
      <c r="B9" s="1610"/>
      <c r="C9" s="1610"/>
      <c r="D9" s="1610"/>
      <c r="E9" s="1611"/>
      <c r="F9" s="575"/>
      <c r="G9" s="575"/>
      <c r="H9" s="575"/>
      <c r="I9" s="575"/>
      <c r="J9" s="575"/>
      <c r="K9" s="575"/>
      <c r="L9" s="320">
        <f t="shared" ref="L9:L26" si="0">+F9+G9+H9-I9+J9-K9</f>
        <v>0</v>
      </c>
      <c r="M9" s="712"/>
    </row>
    <row r="10" spans="1:15" ht="21" customHeight="1">
      <c r="B10" s="1610"/>
      <c r="C10" s="1610"/>
      <c r="D10" s="1610"/>
      <c r="E10" s="1611"/>
      <c r="F10" s="575"/>
      <c r="G10" s="575"/>
      <c r="H10" s="575"/>
      <c r="I10" s="575"/>
      <c r="J10" s="575"/>
      <c r="K10" s="575"/>
      <c r="L10" s="320">
        <f t="shared" si="0"/>
        <v>0</v>
      </c>
      <c r="M10" s="325"/>
    </row>
    <row r="11" spans="1:15" ht="21" customHeight="1">
      <c r="B11" s="1610"/>
      <c r="C11" s="1610"/>
      <c r="D11" s="1610"/>
      <c r="E11" s="1611"/>
      <c r="F11" s="575"/>
      <c r="G11" s="575"/>
      <c r="H11" s="575"/>
      <c r="I11" s="575"/>
      <c r="J11" s="575"/>
      <c r="K11" s="575"/>
      <c r="L11" s="320">
        <f t="shared" si="0"/>
        <v>0</v>
      </c>
      <c r="M11" s="325"/>
      <c r="O11" s="377"/>
    </row>
    <row r="12" spans="1:15" ht="21" customHeight="1">
      <c r="B12" s="1610"/>
      <c r="C12" s="1610"/>
      <c r="D12" s="1610"/>
      <c r="E12" s="1611"/>
      <c r="F12" s="575"/>
      <c r="G12" s="575"/>
      <c r="H12" s="575"/>
      <c r="I12" s="575"/>
      <c r="J12" s="575"/>
      <c r="K12" s="575"/>
      <c r="L12" s="320">
        <f t="shared" si="0"/>
        <v>0</v>
      </c>
      <c r="M12" s="325"/>
    </row>
    <row r="13" spans="1:15" ht="21" customHeight="1">
      <c r="B13" s="1610"/>
      <c r="C13" s="1610"/>
      <c r="D13" s="1610"/>
      <c r="E13" s="1611"/>
      <c r="F13" s="575"/>
      <c r="G13" s="575"/>
      <c r="H13" s="575"/>
      <c r="I13" s="575"/>
      <c r="J13" s="575"/>
      <c r="K13" s="575"/>
      <c r="L13" s="320">
        <f t="shared" si="0"/>
        <v>0</v>
      </c>
      <c r="M13" s="325"/>
    </row>
    <row r="14" spans="1:15" ht="21" customHeight="1">
      <c r="B14" s="1610"/>
      <c r="C14" s="1610"/>
      <c r="D14" s="1610"/>
      <c r="E14" s="1611"/>
      <c r="F14" s="575"/>
      <c r="G14" s="575"/>
      <c r="H14" s="575"/>
      <c r="I14" s="575"/>
      <c r="J14" s="575"/>
      <c r="K14" s="575"/>
      <c r="L14" s="320">
        <f t="shared" si="0"/>
        <v>0</v>
      </c>
      <c r="M14" s="325"/>
    </row>
    <row r="15" spans="1:15" ht="21" customHeight="1">
      <c r="A15" s="1577" t="s">
        <v>3592</v>
      </c>
      <c r="B15" s="1610"/>
      <c r="C15" s="1610"/>
      <c r="D15" s="1610"/>
      <c r="E15" s="1611"/>
      <c r="F15" s="575"/>
      <c r="G15" s="575"/>
      <c r="H15" s="575"/>
      <c r="I15" s="575"/>
      <c r="J15" s="575"/>
      <c r="K15" s="575"/>
      <c r="L15" s="320">
        <f t="shared" si="0"/>
        <v>0</v>
      </c>
      <c r="M15" s="325"/>
    </row>
    <row r="16" spans="1:15" ht="21" customHeight="1">
      <c r="A16" s="1577"/>
      <c r="B16" s="1610"/>
      <c r="C16" s="1610"/>
      <c r="D16" s="1610"/>
      <c r="E16" s="1611"/>
      <c r="F16" s="575"/>
      <c r="G16" s="575"/>
      <c r="H16" s="575"/>
      <c r="I16" s="575"/>
      <c r="J16" s="575"/>
      <c r="K16" s="575"/>
      <c r="L16" s="320">
        <f t="shared" si="0"/>
        <v>0</v>
      </c>
      <c r="M16" s="325"/>
    </row>
    <row r="17" spans="1:13" ht="21" customHeight="1">
      <c r="B17" s="1610"/>
      <c r="C17" s="1610"/>
      <c r="D17" s="1610"/>
      <c r="E17" s="1611"/>
      <c r="F17" s="575"/>
      <c r="G17" s="575"/>
      <c r="H17" s="575"/>
      <c r="I17" s="575"/>
      <c r="J17" s="575"/>
      <c r="K17" s="575"/>
      <c r="L17" s="320">
        <f t="shared" si="0"/>
        <v>0</v>
      </c>
      <c r="M17" s="325"/>
    </row>
    <row r="18" spans="1:13" ht="21" customHeight="1">
      <c r="A18" s="757"/>
      <c r="B18" s="1610"/>
      <c r="C18" s="1610"/>
      <c r="D18" s="1610"/>
      <c r="E18" s="1611"/>
      <c r="F18" s="575"/>
      <c r="G18" s="575"/>
      <c r="H18" s="575"/>
      <c r="I18" s="575"/>
      <c r="J18" s="575"/>
      <c r="K18" s="575"/>
      <c r="L18" s="320">
        <f t="shared" si="0"/>
        <v>0</v>
      </c>
      <c r="M18" s="325"/>
    </row>
    <row r="19" spans="1:13" ht="21" customHeight="1">
      <c r="A19" s="757"/>
      <c r="B19" s="1610"/>
      <c r="C19" s="1610"/>
      <c r="D19" s="1610"/>
      <c r="E19" s="1611"/>
      <c r="F19" s="575"/>
      <c r="G19" s="575"/>
      <c r="H19" s="575"/>
      <c r="I19" s="575"/>
      <c r="J19" s="575"/>
      <c r="K19" s="575"/>
      <c r="L19" s="320">
        <f t="shared" si="0"/>
        <v>0</v>
      </c>
      <c r="M19" s="325"/>
    </row>
    <row r="20" spans="1:13" ht="21" customHeight="1">
      <c r="B20" s="1610"/>
      <c r="C20" s="1610"/>
      <c r="D20" s="1610"/>
      <c r="E20" s="1611"/>
      <c r="F20" s="575"/>
      <c r="G20" s="575"/>
      <c r="H20" s="575"/>
      <c r="I20" s="575"/>
      <c r="J20" s="575"/>
      <c r="K20" s="575"/>
      <c r="L20" s="320">
        <f t="shared" si="0"/>
        <v>0</v>
      </c>
      <c r="M20" s="325"/>
    </row>
    <row r="21" spans="1:13" ht="21" customHeight="1">
      <c r="B21" s="1610"/>
      <c r="C21" s="1610"/>
      <c r="D21" s="1610"/>
      <c r="E21" s="1611"/>
      <c r="F21" s="575"/>
      <c r="G21" s="575"/>
      <c r="H21" s="575"/>
      <c r="I21" s="575"/>
      <c r="J21" s="575"/>
      <c r="K21" s="575"/>
      <c r="L21" s="320">
        <f t="shared" si="0"/>
        <v>0</v>
      </c>
      <c r="M21" s="325"/>
    </row>
    <row r="22" spans="1:13" ht="21" customHeight="1">
      <c r="B22" s="1610"/>
      <c r="C22" s="1610"/>
      <c r="D22" s="1610"/>
      <c r="E22" s="1611"/>
      <c r="F22" s="575"/>
      <c r="G22" s="575"/>
      <c r="H22" s="575"/>
      <c r="I22" s="575"/>
      <c r="J22" s="575"/>
      <c r="K22" s="575"/>
      <c r="L22" s="320">
        <f t="shared" si="0"/>
        <v>0</v>
      </c>
      <c r="M22" s="325"/>
    </row>
    <row r="23" spans="1:13" ht="21" customHeight="1">
      <c r="B23" s="1610"/>
      <c r="C23" s="1610"/>
      <c r="D23" s="1610"/>
      <c r="E23" s="1611"/>
      <c r="F23" s="575"/>
      <c r="G23" s="575"/>
      <c r="H23" s="575"/>
      <c r="I23" s="575"/>
      <c r="J23" s="575"/>
      <c r="K23" s="575"/>
      <c r="L23" s="320">
        <f t="shared" si="0"/>
        <v>0</v>
      </c>
      <c r="M23" s="325"/>
    </row>
    <row r="24" spans="1:13" ht="21" customHeight="1">
      <c r="B24" s="1610"/>
      <c r="C24" s="1610"/>
      <c r="D24" s="1610"/>
      <c r="E24" s="1611"/>
      <c r="F24" s="575"/>
      <c r="G24" s="575"/>
      <c r="H24" s="575"/>
      <c r="I24" s="575"/>
      <c r="J24" s="575"/>
      <c r="K24" s="575"/>
      <c r="L24" s="320">
        <f t="shared" si="0"/>
        <v>0</v>
      </c>
      <c r="M24" s="325"/>
    </row>
    <row r="25" spans="1:13" ht="21" customHeight="1">
      <c r="B25" s="1610"/>
      <c r="C25" s="1610"/>
      <c r="D25" s="1610"/>
      <c r="E25" s="1611"/>
      <c r="F25" s="575"/>
      <c r="G25" s="575"/>
      <c r="H25" s="575"/>
      <c r="I25" s="575"/>
      <c r="J25" s="575"/>
      <c r="K25" s="575"/>
      <c r="L25" s="320">
        <f t="shared" si="0"/>
        <v>0</v>
      </c>
      <c r="M25" s="325"/>
    </row>
    <row r="26" spans="1:13" ht="21" customHeight="1">
      <c r="B26" s="1610"/>
      <c r="C26" s="1610"/>
      <c r="D26" s="1610"/>
      <c r="E26" s="1611"/>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7lKhR/bwsEjOuEif+D6+USiR8AJTGHVjfuEzhAoINRS+SEYcOkQSlmPGsHIOVCgpbNlxL0yfI1X61cn61i83kA==" saltValue="nmg3sRfTqhBsnAmKWsjP/A=="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+'11.21 Grants Approp Rsrv'!F27</f>
        <v>294944.29999999993</v>
      </c>
      <c r="G8" s="1029">
        <f>+'11.21 Grants Approp Rsrv'!G27</f>
        <v>216254.39</v>
      </c>
      <c r="H8" s="1029">
        <f>+'11.21 Grants Approp Rsrv'!H27</f>
        <v>33316.959999999999</v>
      </c>
      <c r="I8" s="1029">
        <f>+'11.21 Grants Approp Rsrv'!I27</f>
        <v>169129.99000000002</v>
      </c>
      <c r="J8" s="1029">
        <f>+'11.21 Grants Approp Rsrv'!J27</f>
        <v>0</v>
      </c>
      <c r="K8" s="1029">
        <f>+'11.21 Grants Approp Rsrv'!K27</f>
        <v>0</v>
      </c>
      <c r="L8" s="1030">
        <f>+'11.21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3593</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oRlu5UAmsgsIRlah9otfhPyq8vI2KMvnEckToybSGmPLtnCYs8mo/LJU4DL38DtVn2sG/G8dvT2o5pCB8guCMQ==" saltValue="kRJvjrhhpbkQs9Zs8WFay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+'11.22 Grants Approp Rsrv'!F27</f>
        <v>294944.29999999993</v>
      </c>
      <c r="G8" s="1029">
        <f>+'11.22 Grants Approp Rsrv'!G27</f>
        <v>216254.39</v>
      </c>
      <c r="H8" s="1029">
        <f>+'11.22 Grants Approp Rsrv'!H27</f>
        <v>33316.959999999999</v>
      </c>
      <c r="I8" s="1029">
        <f>+'11.22 Grants Approp Rsrv'!I27</f>
        <v>169129.99000000002</v>
      </c>
      <c r="J8" s="1029">
        <f>+'11.22 Grants Approp Rsrv'!J27</f>
        <v>0</v>
      </c>
      <c r="K8" s="1029">
        <f>+'11.22 Grants Approp Rsrv'!K27</f>
        <v>0</v>
      </c>
      <c r="L8" s="1030">
        <f>+'11.22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3594</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ou8+BBdXXYCNuAc30W+AMcZHEqZCONdC9nk82wWXlLDLcX+NvvHtbX/R9Z07vx3EEWlq+rcDgf+k7bjSLTMKTQ==" saltValue="hPqAnFlG6GMrCshaZP36D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+'11.23 Grants Approp Rsrv'!F27</f>
        <v>294944.29999999993</v>
      </c>
      <c r="G8" s="1029">
        <f>+'11.23 Grants Approp Rsrv'!G27</f>
        <v>216254.39</v>
      </c>
      <c r="H8" s="1029">
        <f>+'11.23 Grants Approp Rsrv'!H27</f>
        <v>33316.959999999999</v>
      </c>
      <c r="I8" s="1029">
        <f>+'11.23 Grants Approp Rsrv'!I27</f>
        <v>169129.99000000002</v>
      </c>
      <c r="J8" s="1029">
        <f>+'11.23 Grants Approp Rsrv'!J27</f>
        <v>0</v>
      </c>
      <c r="K8" s="1029">
        <f>+'11.23 Grants Approp Rsrv'!K27</f>
        <v>0</v>
      </c>
      <c r="L8" s="1030">
        <f>+'11.23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3595</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IBWBMbK+ZDs3I0lhLei8BagJr2DaLlti3RjwHZZ4SZWImgOTH9VmOULrP5XdvsVBfXzn91SbJ8JD91T6yG1y/Q==" saltValue="yedcqKvmQFJOTkud/V4+zA=="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+'11.24 Grants Approp Rsrv'!F27</f>
        <v>294944.29999999993</v>
      </c>
      <c r="G8" s="1029">
        <f>+'11.24 Grants Approp Rsrv'!G27</f>
        <v>216254.39</v>
      </c>
      <c r="H8" s="1029">
        <f>+'11.24 Grants Approp Rsrv'!H27</f>
        <v>33316.959999999999</v>
      </c>
      <c r="I8" s="1029">
        <f>+'11.24 Grants Approp Rsrv'!I27</f>
        <v>169129.99000000002</v>
      </c>
      <c r="J8" s="1029">
        <f>+'11.24 Grants Approp Rsrv'!J27</f>
        <v>0</v>
      </c>
      <c r="K8" s="1029">
        <f>+'11.24 Grants Approp Rsrv'!K27</f>
        <v>0</v>
      </c>
      <c r="L8" s="1030">
        <f>+'11.24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3596</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aSKY4L+jf7ChDYNu0dLmvBk6wL4IAU7SDeg+lGaoTLyRk2WEgksg8IsaSEpkCykeipYc7SH0B/2Y8V6exOvHzQ==" saltValue="+hwqknsbTw6plSczNeDxC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+'11.25 Grants Approp Rsrv'!F27</f>
        <v>294944.29999999993</v>
      </c>
      <c r="G8" s="1029">
        <f>+'11.25 Grants Approp Rsrv'!G27</f>
        <v>216254.39</v>
      </c>
      <c r="H8" s="1029">
        <f>+'11.25 Grants Approp Rsrv'!H27</f>
        <v>33316.959999999999</v>
      </c>
      <c r="I8" s="1029">
        <f>+'11.25 Grants Approp Rsrv'!I27</f>
        <v>169129.99000000002</v>
      </c>
      <c r="J8" s="1029">
        <f>+'11.25 Grants Approp Rsrv'!J27</f>
        <v>0</v>
      </c>
      <c r="K8" s="1029">
        <f>+'11.25 Grants Approp Rsrv'!K27</f>
        <v>0</v>
      </c>
      <c r="L8" s="1030">
        <f>+'11.25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3597</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gWTAk7Rx5pbqIB992Rem/9PDqDj5Bbz2hnTcvyt5mwidlFqJtK3LRx2L3NmT8yBz3OIgD7WpSUeW+PYWVLX5pA==" saltValue="J1zY1KHn/53DM6B61Z9jcg=="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+'11.26 Grants Approp Rsrv'!F27</f>
        <v>294944.29999999993</v>
      </c>
      <c r="G8" s="1029">
        <f>+'11.26 Grants Approp Rsrv'!G27</f>
        <v>216254.39</v>
      </c>
      <c r="H8" s="1029">
        <f>+'11.26 Grants Approp Rsrv'!H27</f>
        <v>33316.959999999999</v>
      </c>
      <c r="I8" s="1029">
        <f>+'11.26 Grants Approp Rsrv'!I27</f>
        <v>169129.99000000002</v>
      </c>
      <c r="J8" s="1029">
        <f>+'11.26 Grants Approp Rsrv'!J27</f>
        <v>0</v>
      </c>
      <c r="K8" s="1029">
        <f>+'11.26 Grants Approp Rsrv'!K27</f>
        <v>0</v>
      </c>
      <c r="L8" s="1030">
        <f>+'11.26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3598</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YS8OXdeAGgf/9NiNZjh0NFKXPTPQ6PafoM/bsvXwm5FxYHTz+PRO+lMMVVsCcJXHQmDH3hE+ncEMBtYjCdIb9w==" saltValue="NYFk/tRWsDJVj9+FFm/HX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+'11.27 Grants Approp Rsrv'!F27</f>
        <v>294944.29999999993</v>
      </c>
      <c r="G8" s="1029">
        <f>+'11.27 Grants Approp Rsrv'!G27</f>
        <v>216254.39</v>
      </c>
      <c r="H8" s="1029">
        <f>+'11.27 Grants Approp Rsrv'!H27</f>
        <v>33316.959999999999</v>
      </c>
      <c r="I8" s="1029">
        <f>+'11.27 Grants Approp Rsrv'!I27</f>
        <v>169129.99000000002</v>
      </c>
      <c r="J8" s="1029">
        <f>+'11.27 Grants Approp Rsrv'!J27</f>
        <v>0</v>
      </c>
      <c r="K8" s="1029">
        <f>+'11.27 Grants Approp Rsrv'!K27</f>
        <v>0</v>
      </c>
      <c r="L8" s="1030">
        <f>+'11.27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3599</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YGFP9RKCKU7AeH5QHRT3FnRj5x5Quu+uYwelwnVXYD8l0YRYReMSjY6dFwgqyH4vV1JZmhLC1I/c/D3ipLCyYA==" saltValue="NOPs+5WrHoRXMLGN4zsrOg=="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B2:P59"/>
  <sheetViews>
    <sheetView topLeftCell="A40" zoomScaleNormal="100" workbookViewId="0">
      <selection activeCell="N53" sqref="N53"/>
    </sheetView>
  </sheetViews>
  <sheetFormatPr defaultRowHeight="13.2"/>
  <cols>
    <col min="1" max="1" width="7.5546875" customWidth="1"/>
    <col min="2" max="2" width="4.5546875" customWidth="1"/>
    <col min="3" max="4" width="4.6640625" customWidth="1"/>
    <col min="5" max="5" width="18.6640625" customWidth="1"/>
    <col min="6" max="6" width="8.33203125" customWidth="1"/>
    <col min="7" max="7" width="6.33203125" customWidth="1"/>
    <col min="8" max="8" width="7" customWidth="1"/>
    <col min="9" max="9" width="4.33203125" customWidth="1"/>
    <col min="10" max="10" width="12.88671875" customWidth="1"/>
    <col min="13" max="13" width="1.5546875" customWidth="1"/>
  </cols>
  <sheetData>
    <row r="2" spans="2:16" ht="22.8">
      <c r="B2" s="1549" t="s">
        <v>773</v>
      </c>
      <c r="C2" s="1549"/>
      <c r="D2" s="1549"/>
      <c r="E2" s="1549"/>
      <c r="F2" s="1549"/>
      <c r="G2" s="1549"/>
      <c r="H2" s="1549"/>
      <c r="I2" s="1549"/>
      <c r="J2" s="1549"/>
      <c r="K2" s="1549"/>
      <c r="L2" s="1549"/>
      <c r="M2" s="1549"/>
    </row>
    <row r="4" spans="2:16" ht="20.399999999999999">
      <c r="B4" s="1508" t="s">
        <v>774</v>
      </c>
      <c r="C4" s="1508"/>
      <c r="D4" s="1508"/>
      <c r="E4" s="1508"/>
      <c r="F4" s="1508"/>
      <c r="G4" s="1508"/>
      <c r="H4" s="1508"/>
      <c r="I4" s="1508"/>
      <c r="J4" s="1508"/>
      <c r="K4" s="1508"/>
      <c r="L4" s="1508"/>
      <c r="M4" s="1508"/>
    </row>
    <row r="7" spans="2:16" ht="17.399999999999999">
      <c r="B7" s="119" t="s">
        <v>775</v>
      </c>
    </row>
    <row r="9" spans="2:16" ht="21" customHeight="1">
      <c r="C9" s="93" t="s">
        <v>776</v>
      </c>
    </row>
    <row r="10" spans="2:16" ht="21" customHeight="1">
      <c r="B10" s="93" t="s">
        <v>201</v>
      </c>
    </row>
    <row r="13" spans="2:16" ht="21" customHeight="1">
      <c r="B13" s="93"/>
      <c r="C13" s="93" t="s">
        <v>395</v>
      </c>
    </row>
    <row r="14" spans="2:16" ht="21" customHeight="1">
      <c r="B14" s="93" t="s">
        <v>397</v>
      </c>
      <c r="C14" s="93"/>
      <c r="P14" s="377"/>
    </row>
    <row r="15" spans="2:16" ht="21" customHeight="1">
      <c r="B15" s="93" t="s">
        <v>398</v>
      </c>
      <c r="C15" s="93"/>
    </row>
    <row r="17" spans="2:13" ht="17.399999999999999">
      <c r="B17" s="119" t="s">
        <v>399</v>
      </c>
    </row>
    <row r="19" spans="2:13" ht="21" customHeight="1">
      <c r="C19" t="s">
        <v>400</v>
      </c>
    </row>
    <row r="20" spans="2:13" ht="21" customHeight="1">
      <c r="B20" t="s">
        <v>103</v>
      </c>
      <c r="F20" s="1520" t="str">
        <f>+'KEY INPUTS'!D12</f>
        <v>BOROUGH</v>
      </c>
      <c r="G20" s="1520"/>
      <c r="H20" s="1520"/>
      <c r="I20" t="s">
        <v>682</v>
      </c>
      <c r="J20" s="1520" t="str">
        <f>+'KEY INPUTS'!D11</f>
        <v>WATCHUNG</v>
      </c>
      <c r="K20" s="1520"/>
      <c r="L20" s="1520"/>
      <c r="M20" t="s">
        <v>402</v>
      </c>
    </row>
    <row r="21" spans="2:13" ht="21" customHeight="1">
      <c r="B21" t="s">
        <v>401</v>
      </c>
      <c r="D21" s="1520" t="str">
        <f>+'KEY INPUTS'!D10</f>
        <v>SOMERSET</v>
      </c>
      <c r="E21" s="1520"/>
      <c r="F21" s="280" t="str">
        <f>"during the year "&amp;TEXT('KEY INPUTS'!D34,"0")&amp;" and that sheets 40 to 68 are unnecessary."</f>
        <v>during the year 2019 and that sheets 40 to 68 are unnecessary.</v>
      </c>
    </row>
    <row r="22" spans="2:13" ht="13.5" customHeight="1"/>
    <row r="23" spans="2:13" ht="21" customHeight="1">
      <c r="C23" t="s">
        <v>403</v>
      </c>
    </row>
    <row r="25" spans="2:13" ht="21" customHeight="1">
      <c r="H25" t="s">
        <v>404</v>
      </c>
      <c r="I25" s="1533" t="s">
        <v>3952</v>
      </c>
      <c r="J25" s="1533"/>
      <c r="K25" s="1533"/>
      <c r="L25" s="1533"/>
    </row>
    <row r="26" spans="2:13" ht="21" customHeight="1">
      <c r="H26" t="s">
        <v>405</v>
      </c>
      <c r="I26" s="1533" t="s">
        <v>3953</v>
      </c>
      <c r="J26" s="1533"/>
      <c r="K26" s="1533"/>
      <c r="L26" s="1533"/>
    </row>
    <row r="28" spans="2:13" ht="21" customHeight="1">
      <c r="C28" t="s">
        <v>406</v>
      </c>
    </row>
    <row r="29" spans="2:13" ht="21" customHeight="1">
      <c r="B29" t="s">
        <v>407</v>
      </c>
    </row>
    <row r="32" spans="2:13">
      <c r="B32" t="s">
        <v>408</v>
      </c>
    </row>
    <row r="34" spans="2:13" ht="21" customHeight="1">
      <c r="C34" t="s">
        <v>409</v>
      </c>
    </row>
    <row r="35" spans="2:13" ht="21" customHeight="1">
      <c r="B35" t="s">
        <v>446</v>
      </c>
    </row>
    <row r="38" spans="2:13" ht="4.5" customHeight="1">
      <c r="B38" s="30"/>
      <c r="C38" s="30"/>
      <c r="D38" s="30"/>
      <c r="E38" s="30"/>
      <c r="F38" s="30"/>
      <c r="G38" s="30"/>
      <c r="H38" s="30"/>
      <c r="I38" s="30"/>
      <c r="J38" s="30"/>
      <c r="K38" s="30"/>
      <c r="L38" s="30"/>
      <c r="M38" s="30"/>
    </row>
    <row r="39" spans="2:13" ht="3" customHeight="1" thickBot="1">
      <c r="B39" s="28"/>
      <c r="C39" s="28"/>
      <c r="D39" s="28"/>
      <c r="E39" s="28"/>
      <c r="F39" s="28"/>
      <c r="G39" s="28"/>
      <c r="H39" s="28"/>
      <c r="I39" s="28"/>
      <c r="J39" s="28"/>
      <c r="K39" s="28"/>
      <c r="L39" s="28"/>
      <c r="M39" s="28"/>
    </row>
    <row r="40" spans="2:13" ht="3" customHeight="1" thickTop="1">
      <c r="B40" s="30"/>
      <c r="C40" s="30"/>
      <c r="D40" s="30"/>
      <c r="E40" s="30"/>
      <c r="F40" s="30"/>
      <c r="G40" s="30"/>
      <c r="H40" s="30"/>
      <c r="I40" s="30"/>
      <c r="J40" s="30"/>
      <c r="K40" s="30"/>
      <c r="L40" s="30"/>
      <c r="M40" s="30"/>
    </row>
    <row r="43" spans="2:13" ht="13.8">
      <c r="B43" s="1550" t="str">
        <f>"MUNICIPAL  CERTIFICATION  OF  TAXABLE  PROPERTY  AS  OF  OCTOBER  1,  "&amp;TEXT('KEY INPUTS'!D34,"0")</f>
        <v>MUNICIPAL  CERTIFICATION  OF  TAXABLE  PROPERTY  AS  OF  OCTOBER  1,  2019</v>
      </c>
      <c r="C43" s="1550"/>
      <c r="D43" s="1550"/>
      <c r="E43" s="1550"/>
      <c r="F43" s="1550"/>
      <c r="G43" s="1550"/>
      <c r="H43" s="1550"/>
      <c r="I43" s="1550"/>
      <c r="J43" s="1550"/>
      <c r="K43" s="1550"/>
      <c r="L43" s="1550"/>
      <c r="M43" s="1550"/>
    </row>
    <row r="45" spans="2:13" ht="21" customHeight="1">
      <c r="D45" t="s">
        <v>447</v>
      </c>
    </row>
    <row r="46" spans="2:13" ht="21" customHeight="1">
      <c r="C46" s="280" t="str">
        <f>"the tax year "&amp;TEXT('KEY INPUTS'!D33,"0")&amp;" and filed with the County Board of Taxation on January 10, "&amp;TEXT('KEY INPUTS'!D33,"0")&amp;" in accordance"</f>
        <v>the tax year 2020 and filed with the County Board of Taxation on January 10, 2020 in accordance</v>
      </c>
    </row>
    <row r="47" spans="2:13" ht="21" customHeight="1">
      <c r="C47" t="s">
        <v>448</v>
      </c>
      <c r="J47" s="1551">
        <v>1815666300</v>
      </c>
      <c r="K47" s="1551"/>
      <c r="L47" s="1551"/>
    </row>
    <row r="50" spans="2:13">
      <c r="I50" s="30"/>
      <c r="J50" s="1552" t="s">
        <v>3957</v>
      </c>
      <c r="K50" s="1552"/>
      <c r="L50" s="1552"/>
    </row>
    <row r="51" spans="2:13">
      <c r="I51" s="1547" t="s">
        <v>449</v>
      </c>
      <c r="J51" s="1547"/>
      <c r="K51" s="1547"/>
      <c r="L51" s="1547"/>
    </row>
    <row r="53" spans="2:13">
      <c r="I53" s="1520" t="str">
        <f>+'KEY INPUTS'!D9</f>
        <v>BOROUGH OF WATCHUNG</v>
      </c>
      <c r="J53" s="1520"/>
      <c r="K53" s="1520"/>
      <c r="L53" s="1520"/>
    </row>
    <row r="54" spans="2:13">
      <c r="I54" s="1547" t="s">
        <v>450</v>
      </c>
      <c r="J54" s="1547"/>
      <c r="K54" s="1547"/>
      <c r="L54" s="1547"/>
    </row>
    <row r="56" spans="2:13">
      <c r="I56" s="1520" t="str">
        <f>+'KEY INPUTS'!D10</f>
        <v>SOMERSET</v>
      </c>
      <c r="J56" s="1520"/>
      <c r="K56" s="1520"/>
      <c r="L56" s="1520"/>
    </row>
    <row r="57" spans="2:13">
      <c r="I57" s="1547" t="s">
        <v>451</v>
      </c>
      <c r="J57" s="1547"/>
      <c r="K57" s="1547"/>
      <c r="L57" s="1547"/>
    </row>
    <row r="58" spans="2:13">
      <c r="I58" s="132"/>
      <c r="J58" s="132"/>
      <c r="K58" s="132"/>
      <c r="L58" s="132"/>
    </row>
    <row r="59" spans="2:13" ht="13.8">
      <c r="B59" s="1507" t="s">
        <v>452</v>
      </c>
      <c r="C59" s="1507"/>
      <c r="D59" s="1507"/>
      <c r="E59" s="1507"/>
      <c r="F59" s="1507"/>
      <c r="G59" s="1507"/>
      <c r="H59" s="1507"/>
      <c r="I59" s="1507"/>
      <c r="J59" s="1507"/>
      <c r="K59" s="1507"/>
      <c r="L59" s="1507"/>
      <c r="M59" s="1507"/>
    </row>
  </sheetData>
  <sheetProtection algorithmName="SHA-512" hashValue="b38/dvwxLMyNOcTFUtkMjP8OgO7bzt/2fr+wXtEJmDW3xl3ZwMyUBIcoUssvx+7hvH9dJqGMAFDBqYKHvqInzg==" saltValue="2DGmxHeaKllbd7frNGer5w==" spinCount="100000" sheet="1" objects="1" scenarios="1"/>
  <customSheetViews>
    <customSheetView guid="{AC653BD0-46E3-42CB-9C76-32121A57B65A}" topLeftCell="A25">
      <selection activeCell="P51" sqref="P51"/>
      <pageMargins left="0.25" right="0.25" top="0.5" bottom="0.5" header="0.25" footer="0.25"/>
      <pageSetup paperSize="5" orientation="portrait" r:id="rId1"/>
      <headerFooter alignWithMargins="0"/>
    </customSheetView>
    <customSheetView guid="{B165479B-DC25-403C-9595-F1A88A4AA9A2}" topLeftCell="A19">
      <selection activeCell="P51" sqref="P51"/>
      <pageMargins left="0.25" right="0.25" top="0.5" bottom="0.5" header="0.25" footer="0.25"/>
      <pageSetup paperSize="5" orientation="portrait" r:id="rId2"/>
      <headerFooter alignWithMargins="0"/>
    </customSheetView>
    <customSheetView guid="{A64E4C9E-A3DA-4AAA-8607-F524450B9436}" topLeftCell="A19">
      <selection activeCell="P51" sqref="P51"/>
      <pageMargins left="0.25" right="0.25" top="0.5" bottom="0.5" header="0.25" footer="0.25"/>
      <pageSetup paperSize="5" orientation="portrait" r:id="rId3"/>
      <headerFooter alignWithMargins="0"/>
    </customSheetView>
    <customSheetView guid="{AB4FBD91-4533-473A-9702-569FF6402073}" topLeftCell="A19">
      <selection activeCell="P51" sqref="P51"/>
      <pageMargins left="0.25" right="0.25" top="0.5" bottom="0.5" header="0.25" footer="0.25"/>
      <pageSetup paperSize="5" orientation="portrait" r:id="rId4"/>
      <headerFooter alignWithMargins="0"/>
    </customSheetView>
  </customSheetViews>
  <mergeCells count="16">
    <mergeCell ref="B59:M59"/>
    <mergeCell ref="I54:L54"/>
    <mergeCell ref="I56:L56"/>
    <mergeCell ref="I53:L53"/>
    <mergeCell ref="I57:L57"/>
    <mergeCell ref="B2:M2"/>
    <mergeCell ref="B4:M4"/>
    <mergeCell ref="B43:M43"/>
    <mergeCell ref="J20:L20"/>
    <mergeCell ref="I51:L51"/>
    <mergeCell ref="D21:E21"/>
    <mergeCell ref="J47:L47"/>
    <mergeCell ref="F20:H20"/>
    <mergeCell ref="J50:L50"/>
    <mergeCell ref="I25:L25"/>
    <mergeCell ref="I26:L26"/>
  </mergeCells>
  <phoneticPr fontId="0" type="noConversion"/>
  <pageMargins left="0.25" right="0.25" top="0.5" bottom="0.5" header="0.25" footer="0.25"/>
  <pageSetup paperSize="5" orientation="portrait" r:id="rId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+'11.28 Grants Approp Rsrv'!F27</f>
        <v>294944.29999999993</v>
      </c>
      <c r="G8" s="1029">
        <f>+'11.28 Grants Approp Rsrv'!G27</f>
        <v>216254.39</v>
      </c>
      <c r="H8" s="1029">
        <f>+'11.28 Grants Approp Rsrv'!H27</f>
        <v>33316.959999999999</v>
      </c>
      <c r="I8" s="1029">
        <f>+'11.28 Grants Approp Rsrv'!I27</f>
        <v>169129.99000000002</v>
      </c>
      <c r="J8" s="1029">
        <f>+'11.28 Grants Approp Rsrv'!J27</f>
        <v>0</v>
      </c>
      <c r="K8" s="1029">
        <f>+'11.28 Grants Approp Rsrv'!K27</f>
        <v>0</v>
      </c>
      <c r="L8" s="1030">
        <f>+'11.28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3600</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5YWCRsMwmxhZ+Z4MG+hX+8jvEYY3vNzuDWf+Oc50l5sA+mfdfTBP13ZkpDyzwP7r1EEun6rHiPu2R278uS+lDA==" saltValue="So5vI30ThCbkRV52afbztA=="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+'11.29 Grants Approp Rsrv'!F27</f>
        <v>294944.29999999993</v>
      </c>
      <c r="G8" s="1029">
        <f>+'11.29 Grants Approp Rsrv'!G27</f>
        <v>216254.39</v>
      </c>
      <c r="H8" s="1029">
        <f>+'11.29 Grants Approp Rsrv'!H27</f>
        <v>33316.959999999999</v>
      </c>
      <c r="I8" s="1029">
        <f>+'11.29 Grants Approp Rsrv'!I27</f>
        <v>169129.99000000002</v>
      </c>
      <c r="J8" s="1029">
        <f>+'11.29 Grants Approp Rsrv'!J27</f>
        <v>0</v>
      </c>
      <c r="K8" s="1029">
        <f>+'11.29 Grants Approp Rsrv'!K27</f>
        <v>0</v>
      </c>
      <c r="L8" s="1030">
        <f>+'11.29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3601</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MDxKCImUc61qeVmCzNl8XEVCIGgk/spnDVsvjBmEfguh3u8YBryxdm6EAlhOUuG4RjMcK5Ig7f62VIlkZP2AUg==" saltValue="XggYo/lkVDZZOaAm2Y/9r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+'11.30 Grants Approp Rsrv'!F27</f>
        <v>294944.29999999993</v>
      </c>
      <c r="G8" s="1029">
        <f>+'11.30 Grants Approp Rsrv'!G27</f>
        <v>216254.39</v>
      </c>
      <c r="H8" s="1029">
        <f>+'11.30 Grants Approp Rsrv'!H27</f>
        <v>33316.959999999999</v>
      </c>
      <c r="I8" s="1029">
        <f>+'11.30 Grants Approp Rsrv'!I27</f>
        <v>169129.99000000002</v>
      </c>
      <c r="J8" s="1029">
        <f>+'11.30 Grants Approp Rsrv'!J27</f>
        <v>0</v>
      </c>
      <c r="K8" s="1029">
        <f>+'11.30 Grants Approp Rsrv'!K27</f>
        <v>0</v>
      </c>
      <c r="L8" s="1030">
        <f>+'11.30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3602</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GexEjES4xFxUjHOcsaDLIZxJ8VtKVLyTDildIq6tzmurAD7OVDjSj7efj3S4O8vbtrEOsoWQLIWpFjZipClXTA==" saltValue="HPNHJ+nyThvvp0xfzB2wOA=="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+'11.31 Grants Approp Rsrv'!F27</f>
        <v>294944.29999999993</v>
      </c>
      <c r="G8" s="1029">
        <f>+'11.31 Grants Approp Rsrv'!G27</f>
        <v>216254.39</v>
      </c>
      <c r="H8" s="1029">
        <f>+'11.31 Grants Approp Rsrv'!H27</f>
        <v>33316.959999999999</v>
      </c>
      <c r="I8" s="1029">
        <f>+'11.31 Grants Approp Rsrv'!I27</f>
        <v>169129.99000000002</v>
      </c>
      <c r="J8" s="1029">
        <f>+'11.31 Grants Approp Rsrv'!J27</f>
        <v>0</v>
      </c>
      <c r="K8" s="1029">
        <f>+'11.31 Grants Approp Rsrv'!K27</f>
        <v>0</v>
      </c>
      <c r="L8" s="1030">
        <f>+'11.31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3603</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q4FOidUhkt6NAsmbjk0PfZUMGjaeBm02x0FSKXdAlUs+ixv4sAwObrHl1PTPaFKpczT8JJdx9p3umKyCuamxRQ==" saltValue="tnMeTtQ4Afy3bopZfGvln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+'11.32 Grants Approp Rsrv'!F27</f>
        <v>294944.29999999993</v>
      </c>
      <c r="G8" s="1029">
        <f>+'11.32 Grants Approp Rsrv'!G27</f>
        <v>216254.39</v>
      </c>
      <c r="H8" s="1029">
        <f>+'11.32 Grants Approp Rsrv'!H27</f>
        <v>33316.959999999999</v>
      </c>
      <c r="I8" s="1029">
        <f>+'11.32 Grants Approp Rsrv'!I27</f>
        <v>169129.99000000002</v>
      </c>
      <c r="J8" s="1029">
        <f>+'11.32 Grants Approp Rsrv'!J27</f>
        <v>0</v>
      </c>
      <c r="K8" s="1029">
        <f>+'11.32 Grants Approp Rsrv'!K27</f>
        <v>0</v>
      </c>
      <c r="L8" s="1030">
        <f>+'11.32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3604</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vJmZydOVKzjznS1Pn6+q1F0avN5hf7r9k5XdMjpJaGgAnXwsGZqqz+t7Z7cK7GenPkIg0yWqCmSAJDX6MJLv4g==" saltValue="SRkVSzwU9hXvkZ/ugupcB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+'11.33 Grants Approp Rsrv'!F27</f>
        <v>294944.29999999993</v>
      </c>
      <c r="G8" s="1029">
        <f>+'11.33 Grants Approp Rsrv'!G27</f>
        <v>216254.39</v>
      </c>
      <c r="H8" s="1029">
        <f>+'11.33 Grants Approp Rsrv'!H27</f>
        <v>33316.959999999999</v>
      </c>
      <c r="I8" s="1029">
        <f>+'11.33 Grants Approp Rsrv'!I27</f>
        <v>169129.99000000002</v>
      </c>
      <c r="J8" s="1029">
        <f>+'11.33 Grants Approp Rsrv'!J27</f>
        <v>0</v>
      </c>
      <c r="K8" s="1029">
        <f>+'11.33 Grants Approp Rsrv'!K27</f>
        <v>0</v>
      </c>
      <c r="L8" s="1030">
        <f>+'11.33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3605</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GHV+tsNXQotGTRLfuvB3qmnERgmD4NgDZu2lKTOhURDBrfkZ39ii+9eTpi1yeDONJZORaXG8Ul6OGK/sYr/L3Q==" saltValue="F7y9FqD514OdYt5hcFTyF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+'11.34 Grants Approp Rsrv'!F27</f>
        <v>294944.29999999993</v>
      </c>
      <c r="G8" s="1029">
        <f>+'11.34 Grants Approp Rsrv'!G27</f>
        <v>216254.39</v>
      </c>
      <c r="H8" s="1029">
        <f>+'11.34 Grants Approp Rsrv'!H27</f>
        <v>33316.959999999999</v>
      </c>
      <c r="I8" s="1029">
        <f>+'11.34 Grants Approp Rsrv'!I27</f>
        <v>169129.99000000002</v>
      </c>
      <c r="J8" s="1029">
        <f>+'11.34 Grants Approp Rsrv'!J27</f>
        <v>0</v>
      </c>
      <c r="K8" s="1029">
        <f>+'11.34 Grants Approp Rsrv'!K27</f>
        <v>0</v>
      </c>
      <c r="L8" s="1030">
        <f>+'11.34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3606</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UPkeRTxANRlcvP+N0nmuC1YddKeR4d42WUx1eXTv2/lA8/VX+uOFLO58ShTDfz3VpjrGr7z5/BrJ3FKLgP0s6A==" saltValue="u0XOHeY4vE4Qa0xOahEZFw=="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2: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+'11.35 Grants Approp Rsrv'!F27</f>
        <v>294944.29999999993</v>
      </c>
      <c r="G8" s="1029">
        <f>+'11.35 Grants Approp Rsrv'!G27</f>
        <v>216254.39</v>
      </c>
      <c r="H8" s="1029">
        <f>+'11.35 Grants Approp Rsrv'!H27</f>
        <v>33316.959999999999</v>
      </c>
      <c r="I8" s="1029">
        <f>+'11.35 Grants Approp Rsrv'!I27</f>
        <v>169129.99000000002</v>
      </c>
      <c r="J8" s="1029">
        <f>+'11.35 Grants Approp Rsrv'!J27</f>
        <v>0</v>
      </c>
      <c r="K8" s="1029">
        <f>+'11.35 Grants Approp Rsrv'!K27</f>
        <v>0</v>
      </c>
      <c r="L8" s="1030">
        <f>+'11.35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3607</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ySFvFPNuFwcyg7laY5yjjWrIE4G6WXlOjwVR6otgsWczqs70J/BalAurhD87bJtYKM64aHdx3oyou8lo0XW8ZA==" saltValue="BOdL0HWsLBviYv//rWW4TA=="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+'11.36 Grants Approp Rsrv'!F27</f>
        <v>294944.29999999993</v>
      </c>
      <c r="G8" s="1029">
        <f>+'11.36 Grants Approp Rsrv'!G27</f>
        <v>216254.39</v>
      </c>
      <c r="H8" s="1029">
        <f>+'11.36 Grants Approp Rsrv'!H27</f>
        <v>33316.959999999999</v>
      </c>
      <c r="I8" s="1029">
        <f>+'11.36 Grants Approp Rsrv'!I27</f>
        <v>169129.99000000002</v>
      </c>
      <c r="J8" s="1029">
        <f>+'11.36 Grants Approp Rsrv'!J27</f>
        <v>0</v>
      </c>
      <c r="K8" s="1029">
        <f>+'11.36 Grants Approp Rsrv'!K27</f>
        <v>0</v>
      </c>
      <c r="L8" s="1030">
        <f>+'11.36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3608</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PDcVBz7W4QLbDdYOlA3QfkSCpVSOkXHbrbsYVXY7nt3PeSrFvPz5WJoKlo2mr8x4wuZmdxac66PB2WwoTetG/g==" saltValue="fMCYANGypNjBoMwdvkjjAQ=="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O34"/>
  <sheetViews>
    <sheetView zoomScaleNormal="100" workbookViewId="0">
      <selection activeCell="B1" sqref="B1"/>
    </sheetView>
  </sheetViews>
  <sheetFormatPr defaultColWidth="9.109375" defaultRowHeight="13.2"/>
  <cols>
    <col min="1" max="1" width="5.6640625" style="322" customWidth="1"/>
    <col min="2" max="2" width="4.109375" style="322" customWidth="1"/>
    <col min="3" max="4" width="4.88671875" style="322" customWidth="1"/>
    <col min="5" max="5" width="43.44140625" style="322" customWidth="1"/>
    <col min="6" max="10" width="15.6640625" style="322" customWidth="1"/>
    <col min="11" max="11" width="15.5546875" style="322" customWidth="1"/>
    <col min="12" max="12" width="15.6640625" style="277" customWidth="1"/>
    <col min="13" max="13" width="10.88671875" style="322" bestFit="1" customWidth="1"/>
    <col min="14" max="16384" width="9.109375" style="322"/>
  </cols>
  <sheetData>
    <row r="1" spans="1:15">
      <c r="B1" s="853"/>
      <c r="C1" s="853"/>
      <c r="D1" s="853"/>
      <c r="E1" s="853"/>
      <c r="F1" s="853"/>
      <c r="G1" s="853"/>
      <c r="H1" s="853"/>
      <c r="I1" s="853"/>
      <c r="J1" s="853"/>
      <c r="K1" s="853"/>
      <c r="L1" s="839"/>
    </row>
    <row r="2" spans="1:15" ht="20.399999999999999">
      <c r="B2" s="1596" t="s">
        <v>303</v>
      </c>
      <c r="C2" s="1596"/>
      <c r="D2" s="1596"/>
      <c r="E2" s="1596"/>
      <c r="F2" s="1596"/>
      <c r="G2" s="1596"/>
      <c r="H2" s="1596"/>
      <c r="I2" s="1596"/>
      <c r="J2" s="1596"/>
      <c r="K2" s="1596"/>
      <c r="L2" s="1596"/>
    </row>
    <row r="3" spans="1:15" ht="21" thickBot="1">
      <c r="B3" s="1596" t="s">
        <v>135</v>
      </c>
      <c r="C3" s="1596"/>
      <c r="D3" s="1596"/>
      <c r="E3" s="1596"/>
      <c r="F3" s="1596"/>
      <c r="G3" s="1596"/>
      <c r="H3" s="1596"/>
      <c r="I3" s="1596"/>
      <c r="J3" s="1596"/>
      <c r="K3" s="1596"/>
      <c r="L3" s="1596"/>
    </row>
    <row r="4" spans="1:15" ht="13.8" thickTop="1">
      <c r="B4" s="886"/>
      <c r="C4" s="886"/>
      <c r="D4" s="886"/>
      <c r="E4" s="886"/>
      <c r="F4" s="887"/>
      <c r="G4" s="1606" t="str">
        <f>"Transferred from "&amp;TEXT('KEY INPUTS'!D34,"0")</f>
        <v>Transferred from 2019</v>
      </c>
      <c r="H4" s="1607"/>
      <c r="I4" s="887"/>
      <c r="J4" s="888"/>
      <c r="K4" s="886"/>
      <c r="L4" s="1023"/>
    </row>
    <row r="5" spans="1:15">
      <c r="B5" s="1597" t="s">
        <v>804</v>
      </c>
      <c r="C5" s="1597"/>
      <c r="D5" s="1597"/>
      <c r="E5" s="1598"/>
      <c r="F5" s="889" t="s">
        <v>671</v>
      </c>
      <c r="G5" s="1608" t="s">
        <v>301</v>
      </c>
      <c r="H5" s="1609"/>
      <c r="I5" s="889" t="s">
        <v>302</v>
      </c>
      <c r="J5" s="890" t="s">
        <v>280</v>
      </c>
      <c r="K5" s="995" t="s">
        <v>566</v>
      </c>
      <c r="L5" s="1024" t="s">
        <v>671</v>
      </c>
    </row>
    <row r="6" spans="1:15">
      <c r="B6" s="853"/>
      <c r="C6" s="853"/>
      <c r="D6" s="853"/>
      <c r="E6" s="853"/>
      <c r="F6" s="892" t="str">
        <f>'KEY INPUTS'!D47</f>
        <v>Jan. 1, 2019</v>
      </c>
      <c r="G6" s="889" t="s">
        <v>676</v>
      </c>
      <c r="H6" s="889" t="s">
        <v>299</v>
      </c>
      <c r="I6" s="889"/>
      <c r="J6" s="889"/>
      <c r="K6" s="894"/>
      <c r="L6" s="1025" t="str">
        <f>'KEY INPUTS'!D46</f>
        <v>Dec. 31, 2019</v>
      </c>
    </row>
    <row r="7" spans="1:15" ht="13.8" thickBot="1">
      <c r="B7" s="895"/>
      <c r="C7" s="895"/>
      <c r="D7" s="895"/>
      <c r="E7" s="895"/>
      <c r="F7" s="896"/>
      <c r="G7" s="897"/>
      <c r="H7" s="897" t="s">
        <v>300</v>
      </c>
      <c r="I7" s="896"/>
      <c r="J7" s="897"/>
      <c r="K7" s="898"/>
      <c r="L7" s="1026"/>
    </row>
    <row r="8" spans="1:15" ht="21" customHeight="1" thickTop="1">
      <c r="B8" s="1027" t="s">
        <v>3546</v>
      </c>
      <c r="C8" s="843"/>
      <c r="D8" s="843"/>
      <c r="E8" s="1028"/>
      <c r="F8" s="1029">
        <f>+'11.37 Grants Approp Rsrv'!F27</f>
        <v>294944.29999999993</v>
      </c>
      <c r="G8" s="1029">
        <f>+'11.37 Grants Approp Rsrv'!G27</f>
        <v>216254.39</v>
      </c>
      <c r="H8" s="1029">
        <f>+'11.37 Grants Approp Rsrv'!H27</f>
        <v>33316.959999999999</v>
      </c>
      <c r="I8" s="1029">
        <f>+'11.37 Grants Approp Rsrv'!I27</f>
        <v>169129.99000000002</v>
      </c>
      <c r="J8" s="1029">
        <f>+'11.37 Grants Approp Rsrv'!J27</f>
        <v>0</v>
      </c>
      <c r="K8" s="1029">
        <f>+'11.37 Grants Approp Rsrv'!K27</f>
        <v>0</v>
      </c>
      <c r="L8" s="1030">
        <f>+'11.37 Grants Approp Rsrv'!L27</f>
        <v>375385.66</v>
      </c>
      <c r="M8" s="710"/>
    </row>
    <row r="9" spans="1:15" ht="21" customHeight="1">
      <c r="B9" s="1604"/>
      <c r="C9" s="1604"/>
      <c r="D9" s="1604"/>
      <c r="E9" s="1605"/>
      <c r="F9" s="575"/>
      <c r="G9" s="575"/>
      <c r="H9" s="575"/>
      <c r="I9" s="575"/>
      <c r="J9" s="575"/>
      <c r="K9" s="575"/>
      <c r="L9" s="320">
        <f t="shared" ref="L9:L26" si="0">+F9+G9+H9-I9+J9-K9</f>
        <v>0</v>
      </c>
      <c r="M9" s="712"/>
    </row>
    <row r="10" spans="1:15" ht="21" customHeight="1">
      <c r="B10" s="1604"/>
      <c r="C10" s="1604"/>
      <c r="D10" s="1604"/>
      <c r="E10" s="1605"/>
      <c r="F10" s="575"/>
      <c r="G10" s="575"/>
      <c r="H10" s="575"/>
      <c r="I10" s="575"/>
      <c r="J10" s="575"/>
      <c r="K10" s="575"/>
      <c r="L10" s="320">
        <f t="shared" si="0"/>
        <v>0</v>
      </c>
      <c r="M10" s="325"/>
    </row>
    <row r="11" spans="1:15" ht="21" customHeight="1">
      <c r="B11" s="1604"/>
      <c r="C11" s="1604"/>
      <c r="D11" s="1604"/>
      <c r="E11" s="1605"/>
      <c r="F11" s="575"/>
      <c r="G11" s="575"/>
      <c r="H11" s="575"/>
      <c r="I11" s="575"/>
      <c r="J11" s="575"/>
      <c r="K11" s="575"/>
      <c r="L11" s="320">
        <f t="shared" si="0"/>
        <v>0</v>
      </c>
      <c r="M11" s="325"/>
      <c r="O11" s="377"/>
    </row>
    <row r="12" spans="1:15" ht="21" customHeight="1">
      <c r="B12" s="1604"/>
      <c r="C12" s="1604"/>
      <c r="D12" s="1604"/>
      <c r="E12" s="1605"/>
      <c r="F12" s="575"/>
      <c r="G12" s="575"/>
      <c r="H12" s="575"/>
      <c r="I12" s="575"/>
      <c r="J12" s="575"/>
      <c r="K12" s="575"/>
      <c r="L12" s="320">
        <f t="shared" si="0"/>
        <v>0</v>
      </c>
      <c r="M12" s="325"/>
    </row>
    <row r="13" spans="1:15" ht="21" customHeight="1">
      <c r="B13" s="1604"/>
      <c r="C13" s="1604"/>
      <c r="D13" s="1604"/>
      <c r="E13" s="1605"/>
      <c r="F13" s="575"/>
      <c r="G13" s="575"/>
      <c r="H13" s="575"/>
      <c r="I13" s="575"/>
      <c r="J13" s="575"/>
      <c r="K13" s="575"/>
      <c r="L13" s="320">
        <f t="shared" si="0"/>
        <v>0</v>
      </c>
      <c r="M13" s="325"/>
    </row>
    <row r="14" spans="1:15" ht="21" customHeight="1">
      <c r="B14" s="1604"/>
      <c r="C14" s="1604"/>
      <c r="D14" s="1604"/>
      <c r="E14" s="1605"/>
      <c r="F14" s="575"/>
      <c r="G14" s="575"/>
      <c r="H14" s="575"/>
      <c r="I14" s="575"/>
      <c r="J14" s="575"/>
      <c r="K14" s="575"/>
      <c r="L14" s="320">
        <f t="shared" si="0"/>
        <v>0</v>
      </c>
      <c r="M14" s="325"/>
    </row>
    <row r="15" spans="1:15" ht="21" customHeight="1">
      <c r="A15" s="1577" t="s">
        <v>3609</v>
      </c>
      <c r="B15" s="1604"/>
      <c r="C15" s="1604"/>
      <c r="D15" s="1604"/>
      <c r="E15" s="1605"/>
      <c r="F15" s="575"/>
      <c r="G15" s="575"/>
      <c r="H15" s="575"/>
      <c r="I15" s="575"/>
      <c r="J15" s="575"/>
      <c r="K15" s="575"/>
      <c r="L15" s="320">
        <f t="shared" si="0"/>
        <v>0</v>
      </c>
      <c r="M15" s="325"/>
    </row>
    <row r="16" spans="1:15" ht="21" customHeight="1">
      <c r="A16" s="1577"/>
      <c r="B16" s="1604"/>
      <c r="C16" s="1604"/>
      <c r="D16" s="1604"/>
      <c r="E16" s="1605"/>
      <c r="F16" s="575"/>
      <c r="G16" s="575"/>
      <c r="H16" s="575"/>
      <c r="I16" s="575"/>
      <c r="J16" s="575"/>
      <c r="K16" s="575"/>
      <c r="L16" s="320">
        <f t="shared" si="0"/>
        <v>0</v>
      </c>
      <c r="M16" s="325"/>
    </row>
    <row r="17" spans="1:13" ht="21" customHeight="1">
      <c r="B17" s="1604"/>
      <c r="C17" s="1604"/>
      <c r="D17" s="1604"/>
      <c r="E17" s="1605"/>
      <c r="F17" s="575"/>
      <c r="G17" s="575"/>
      <c r="H17" s="575"/>
      <c r="I17" s="575"/>
      <c r="J17" s="575"/>
      <c r="K17" s="575"/>
      <c r="L17" s="320">
        <f t="shared" si="0"/>
        <v>0</v>
      </c>
      <c r="M17" s="325"/>
    </row>
    <row r="18" spans="1:13" ht="21" customHeight="1">
      <c r="A18" s="757"/>
      <c r="B18" s="1604"/>
      <c r="C18" s="1604"/>
      <c r="D18" s="1604"/>
      <c r="E18" s="1605"/>
      <c r="F18" s="575"/>
      <c r="G18" s="575"/>
      <c r="H18" s="575"/>
      <c r="I18" s="575"/>
      <c r="J18" s="575"/>
      <c r="K18" s="575"/>
      <c r="L18" s="320">
        <f t="shared" si="0"/>
        <v>0</v>
      </c>
      <c r="M18" s="325"/>
    </row>
    <row r="19" spans="1:13" ht="21" customHeight="1">
      <c r="A19" s="757"/>
      <c r="B19" s="1604"/>
      <c r="C19" s="1604"/>
      <c r="D19" s="1604"/>
      <c r="E19" s="1605"/>
      <c r="F19" s="575"/>
      <c r="G19" s="575"/>
      <c r="H19" s="575"/>
      <c r="I19" s="575"/>
      <c r="J19" s="575"/>
      <c r="K19" s="575"/>
      <c r="L19" s="320">
        <f t="shared" si="0"/>
        <v>0</v>
      </c>
      <c r="M19" s="325"/>
    </row>
    <row r="20" spans="1:13" ht="21" customHeight="1">
      <c r="B20" s="1604"/>
      <c r="C20" s="1604"/>
      <c r="D20" s="1604"/>
      <c r="E20" s="1605"/>
      <c r="F20" s="575"/>
      <c r="G20" s="575"/>
      <c r="H20" s="575"/>
      <c r="I20" s="575"/>
      <c r="J20" s="575"/>
      <c r="K20" s="575"/>
      <c r="L20" s="320">
        <f t="shared" si="0"/>
        <v>0</v>
      </c>
      <c r="M20" s="325"/>
    </row>
    <row r="21" spans="1:13" ht="21" customHeight="1">
      <c r="B21" s="1604"/>
      <c r="C21" s="1604"/>
      <c r="D21" s="1604"/>
      <c r="E21" s="1605"/>
      <c r="F21" s="575"/>
      <c r="G21" s="575"/>
      <c r="H21" s="575"/>
      <c r="I21" s="575"/>
      <c r="J21" s="575"/>
      <c r="K21" s="575"/>
      <c r="L21" s="320">
        <f t="shared" si="0"/>
        <v>0</v>
      </c>
      <c r="M21" s="325"/>
    </row>
    <row r="22" spans="1:13" ht="21" customHeight="1">
      <c r="B22" s="1604"/>
      <c r="C22" s="1604"/>
      <c r="D22" s="1604"/>
      <c r="E22" s="1605"/>
      <c r="F22" s="575"/>
      <c r="G22" s="575"/>
      <c r="H22" s="575"/>
      <c r="I22" s="575"/>
      <c r="J22" s="575"/>
      <c r="K22" s="575"/>
      <c r="L22" s="320">
        <f t="shared" si="0"/>
        <v>0</v>
      </c>
      <c r="M22" s="325"/>
    </row>
    <row r="23" spans="1:13" ht="21" customHeight="1">
      <c r="B23" s="1604"/>
      <c r="C23" s="1604"/>
      <c r="D23" s="1604"/>
      <c r="E23" s="1605"/>
      <c r="F23" s="575"/>
      <c r="G23" s="575"/>
      <c r="H23" s="575"/>
      <c r="I23" s="575"/>
      <c r="J23" s="575"/>
      <c r="K23" s="575"/>
      <c r="L23" s="320">
        <f t="shared" si="0"/>
        <v>0</v>
      </c>
      <c r="M23" s="325"/>
    </row>
    <row r="24" spans="1:13" ht="21" customHeight="1">
      <c r="B24" s="1604"/>
      <c r="C24" s="1604"/>
      <c r="D24" s="1604"/>
      <c r="E24" s="1605"/>
      <c r="F24" s="575"/>
      <c r="G24" s="575"/>
      <c r="H24" s="575"/>
      <c r="I24" s="575"/>
      <c r="J24" s="575"/>
      <c r="K24" s="575"/>
      <c r="L24" s="320">
        <f t="shared" si="0"/>
        <v>0</v>
      </c>
      <c r="M24" s="325"/>
    </row>
    <row r="25" spans="1:13" ht="21" customHeight="1">
      <c r="B25" s="1604"/>
      <c r="C25" s="1604"/>
      <c r="D25" s="1604"/>
      <c r="E25" s="1605"/>
      <c r="F25" s="575"/>
      <c r="G25" s="575"/>
      <c r="H25" s="575"/>
      <c r="I25" s="575"/>
      <c r="J25" s="575"/>
      <c r="K25" s="575"/>
      <c r="L25" s="320">
        <f t="shared" si="0"/>
        <v>0</v>
      </c>
      <c r="M25" s="325"/>
    </row>
    <row r="26" spans="1:13" ht="21" customHeight="1">
      <c r="B26" s="1604"/>
      <c r="C26" s="1604"/>
      <c r="D26" s="1604"/>
      <c r="E26" s="1605"/>
      <c r="F26" s="575"/>
      <c r="G26" s="575"/>
      <c r="H26" s="575"/>
      <c r="I26" s="575"/>
      <c r="J26" s="575"/>
      <c r="K26" s="575"/>
      <c r="L26" s="320">
        <f t="shared" si="0"/>
        <v>0</v>
      </c>
    </row>
    <row r="27" spans="1:13" ht="21" customHeight="1" thickBot="1">
      <c r="B27" s="330"/>
      <c r="C27" s="328" t="s">
        <v>3545</v>
      </c>
      <c r="D27" s="328"/>
      <c r="E27" s="319"/>
      <c r="F27" s="332">
        <f t="shared" ref="F27:K27" si="1">SUM(F8:F26)</f>
        <v>294944.29999999993</v>
      </c>
      <c r="G27" s="332">
        <f>SUM(G8:G26)</f>
        <v>216254.39</v>
      </c>
      <c r="H27" s="332">
        <f t="shared" si="1"/>
        <v>33316.959999999999</v>
      </c>
      <c r="I27" s="332">
        <f t="shared" si="1"/>
        <v>169129.99000000002</v>
      </c>
      <c r="J27" s="332">
        <f t="shared" si="1"/>
        <v>0</v>
      </c>
      <c r="K27" s="332">
        <f t="shared" si="1"/>
        <v>0</v>
      </c>
      <c r="L27" s="317">
        <f>SUM(L8:L26)</f>
        <v>375385.66</v>
      </c>
    </row>
    <row r="28" spans="1:13" ht="13.8" thickTop="1"/>
    <row r="31" spans="1:13">
      <c r="F31" s="325"/>
      <c r="L31" s="327"/>
    </row>
    <row r="33" spans="7:12">
      <c r="G33" s="325"/>
      <c r="L33" s="327"/>
    </row>
    <row r="34" spans="7:12">
      <c r="G34" s="325"/>
    </row>
  </sheetData>
  <sheetProtection algorithmName="SHA-512" hashValue="8sd7QojTPhWqab4CJSjKTMLw6yvAsmUtBsYBywLK+zH7brOh/b5QgQpyoIa5Pn2oxQP6xNmsRKIsP2nwktiMwQ==" saltValue="hn9FMkLOumtS59RQVX546A==" spinCount="100000" sheet="1" objects="1" scenarios="1"/>
  <customSheetViews>
    <customSheetView guid="{AC653BD0-46E3-42CB-9C76-32121A57B65A}" state="hidden">
      <selection activeCell="B1" sqref="B1"/>
      <pageMargins left="0.25" right="0.25" top="0.5" bottom="0.5" header="0.25" footer="0.25"/>
      <pageSetup paperSize="5" scale="99" orientation="landscape" r:id="rId1"/>
      <headerFooter alignWithMargins="0"/>
    </customSheetView>
    <customSheetView guid="{B165479B-DC25-403C-9595-F1A88A4AA9A2}" state="hidden">
      <selection activeCell="B1" sqref="B1"/>
      <pageMargins left="0.25" right="0.25" top="0.5" bottom="0.5" header="0.25" footer="0.25"/>
      <pageSetup paperSize="5" scale="99" orientation="landscape" r:id="rId2"/>
      <headerFooter alignWithMargins="0"/>
    </customSheetView>
    <customSheetView guid="{A64E4C9E-A3DA-4AAA-8607-F524450B9436}" state="hidden">
      <selection activeCell="B1" sqref="B1"/>
      <pageMargins left="0.25" right="0.25" top="0.5" bottom="0.5" header="0.25" footer="0.25"/>
      <pageSetup paperSize="5" scale="99" orientation="landscape" r:id="rId3"/>
      <headerFooter alignWithMargins="0"/>
    </customSheetView>
    <customSheetView guid="{AB4FBD91-4533-473A-9702-569FF6402073}" state="hidden">
      <selection activeCell="B1" sqref="B1"/>
      <pageMargins left="0.25" right="0.25" top="0.5" bottom="0.5" header="0.25" footer="0.25"/>
      <pageSetup paperSize="5" scale="99" orientation="landscape" r:id="rId4"/>
      <headerFooter alignWithMargins="0"/>
    </customSheetView>
  </customSheetViews>
  <mergeCells count="24">
    <mergeCell ref="B22:E22"/>
    <mergeCell ref="B23:E23"/>
    <mergeCell ref="B24:E24"/>
    <mergeCell ref="B25:E25"/>
    <mergeCell ref="B26:E26"/>
    <mergeCell ref="B17:E17"/>
    <mergeCell ref="B18:E18"/>
    <mergeCell ref="B19:E19"/>
    <mergeCell ref="B20:E20"/>
    <mergeCell ref="B21:E21"/>
    <mergeCell ref="A15:A16"/>
    <mergeCell ref="B2:L2"/>
    <mergeCell ref="B3:L3"/>
    <mergeCell ref="G4:H4"/>
    <mergeCell ref="B5:E5"/>
    <mergeCell ref="G5:H5"/>
    <mergeCell ref="B9:E9"/>
    <mergeCell ref="B10:E10"/>
    <mergeCell ref="B11:E11"/>
    <mergeCell ref="B12:E12"/>
    <mergeCell ref="B13:E13"/>
    <mergeCell ref="B14:E14"/>
    <mergeCell ref="B15:E15"/>
    <mergeCell ref="B16:E16"/>
  </mergeCells>
  <pageMargins left="0.25" right="0.25" top="0.5" bottom="0.5" header="0.25" footer="0.25"/>
  <pageSetup paperSize="5" scale="99" orientation="landscape"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293</vt:i4>
      </vt:variant>
      <vt:variant>
        <vt:lpstr>Named Ranges</vt:lpstr>
      </vt:variant>
      <vt:variant>
        <vt:i4>292</vt:i4>
      </vt:variant>
    </vt:vector>
  </HeadingPairs>
  <TitlesOfParts>
    <vt:vector size="585" baseType="lpstr">
      <vt:lpstr>Instructions</vt:lpstr>
      <vt:lpstr>69 - Instructions</vt:lpstr>
      <vt:lpstr>KEY INPUTS</vt:lpstr>
      <vt:lpstr>KEY METRICS</vt:lpstr>
      <vt:lpstr>1- Cover</vt:lpstr>
      <vt:lpstr>1a - RMA Certification</vt:lpstr>
      <vt:lpstr>1b - Local Exam Qual Cert</vt:lpstr>
      <vt:lpstr>1c - Fed &amp; State Finan Asst.</vt:lpstr>
      <vt:lpstr>2 - No Utility Fund Cert</vt:lpstr>
      <vt:lpstr>3-Trial Bal-Current Fund</vt:lpstr>
      <vt:lpstr>3a-Trial Bal-Current Fund</vt:lpstr>
      <vt:lpstr>3a.1-Trial Bal-Current Fund</vt:lpstr>
      <vt:lpstr>4-Trial Bal-Pub Assist Fnd</vt:lpstr>
      <vt:lpstr>5-Trial Bal-Grants</vt:lpstr>
      <vt:lpstr>6-Trial Bal-Trust Fnds</vt:lpstr>
      <vt:lpstr>6.1-Trial Bal-Trust Fnds</vt:lpstr>
      <vt:lpstr>6.2-Trial Bal-Trust Fnds</vt:lpstr>
      <vt:lpstr>6.3-Trial Bal-Trust Fnds</vt:lpstr>
      <vt:lpstr>6.4-Trial Bal-Trust Fnds</vt:lpstr>
      <vt:lpstr>6.TOTAL-Trial Bal-Trust Fnds</vt:lpstr>
      <vt:lpstr>6b-Trust Fund Reserves</vt:lpstr>
      <vt:lpstr>6b.1-Trust Fund Reserves</vt:lpstr>
      <vt:lpstr>6b.2-Trust Fund Reserves</vt:lpstr>
      <vt:lpstr>6b.3-Trust Fund Reserves</vt:lpstr>
      <vt:lpstr>6b-Total Trust Fund Reserves</vt:lpstr>
      <vt:lpstr>7-Trust Asm Cash &amp; Investments</vt:lpstr>
      <vt:lpstr>8-Trial Bal-Gen Cap Fund</vt:lpstr>
      <vt:lpstr>8.1-Trial Bal-Gen Cap Fund</vt:lpstr>
      <vt:lpstr>9-Cash Reconciliation</vt:lpstr>
      <vt:lpstr>9a-Cash Reconciliation</vt:lpstr>
      <vt:lpstr>9a.1-Cash Reconciliation</vt:lpstr>
      <vt:lpstr>9a.2-Cash Reconciliation</vt:lpstr>
      <vt:lpstr>9a.3-Cash Reconciliation</vt:lpstr>
      <vt:lpstr>9a TOTAL-Cash Reconciliation</vt:lpstr>
      <vt:lpstr>10-Grants Receivable</vt:lpstr>
      <vt:lpstr>10.1-Grants Receivable</vt:lpstr>
      <vt:lpstr>10.2-Grants Receivable</vt:lpstr>
      <vt:lpstr>10.3-Grants Receivable</vt:lpstr>
      <vt:lpstr>10.4-Grants Receivable</vt:lpstr>
      <vt:lpstr>10.5-Grants Receivable</vt:lpstr>
      <vt:lpstr>10.6-Grants Receivable</vt:lpstr>
      <vt:lpstr>10.7-Grants Receivable</vt:lpstr>
      <vt:lpstr>10.8-Grants Receivable</vt:lpstr>
      <vt:lpstr>10.9-Grants Receivable</vt:lpstr>
      <vt:lpstr>10.10-Grants Receivable</vt:lpstr>
      <vt:lpstr>10.11-Grants Receivable</vt:lpstr>
      <vt:lpstr>10.12-Grants Receivable</vt:lpstr>
      <vt:lpstr>10.13-Grants Receivable</vt:lpstr>
      <vt:lpstr>10.14-Grants Receivable</vt:lpstr>
      <vt:lpstr>10.15-Grants Receivable</vt:lpstr>
      <vt:lpstr>10.16-Grants Receivable</vt:lpstr>
      <vt:lpstr>10.17-Grants Receivable</vt:lpstr>
      <vt:lpstr>10.18-Grants Receivable</vt:lpstr>
      <vt:lpstr>10.19-Grants Receivable</vt:lpstr>
      <vt:lpstr>10.20-Grants Receivable</vt:lpstr>
      <vt:lpstr>10.21-Grants Receivable</vt:lpstr>
      <vt:lpstr>10.22-Grants Receivable</vt:lpstr>
      <vt:lpstr>10.23-Grants Receivable</vt:lpstr>
      <vt:lpstr>10.24-Grants Receivable</vt:lpstr>
      <vt:lpstr>10 Totals Grants Receivable</vt:lpstr>
      <vt:lpstr>11 Grants Approp Rsrv</vt:lpstr>
      <vt:lpstr>11.1 Grants Approp Rsrv</vt:lpstr>
      <vt:lpstr>11.2 Grants Approp Rsrv</vt:lpstr>
      <vt:lpstr>11.3 Grants Approp Rsrv</vt:lpstr>
      <vt:lpstr>11.4 Grants Approp Rsrv</vt:lpstr>
      <vt:lpstr>11.5 Grants Approp Rsrv</vt:lpstr>
      <vt:lpstr>11.6 Grants Approp Rsrv</vt:lpstr>
      <vt:lpstr>11.7 Grants Approp Rsrv</vt:lpstr>
      <vt:lpstr>11.8 Grants Approp Rsrv</vt:lpstr>
      <vt:lpstr>11.9 Grants Approp Rsrv</vt:lpstr>
      <vt:lpstr>11.10 Grants Approp Rsrv</vt:lpstr>
      <vt:lpstr>11.11 Grants Approp Rsrv</vt:lpstr>
      <vt:lpstr>11.12 Grants Approp Rsrv</vt:lpstr>
      <vt:lpstr>11.13 Grants Approp Rsrv</vt:lpstr>
      <vt:lpstr>11.14 Grants Approp Rsrv</vt:lpstr>
      <vt:lpstr>11.15 Grants Approp Rsrv</vt:lpstr>
      <vt:lpstr>11.16 Grants Approp Rsrv</vt:lpstr>
      <vt:lpstr>11.17 Grants Approp Rsrv</vt:lpstr>
      <vt:lpstr>11.18 Grants Approp Rsrv</vt:lpstr>
      <vt:lpstr>11.19 Grants Approp Rsrv</vt:lpstr>
      <vt:lpstr>11.20 Grants Approp Rsrv</vt:lpstr>
      <vt:lpstr>11.21 Grants Approp Rsrv</vt:lpstr>
      <vt:lpstr>11.22 Grants Approp Rsrv</vt:lpstr>
      <vt:lpstr>11.23 Grants Approp Rsrv</vt:lpstr>
      <vt:lpstr>11.24 Grants Approp Rsrv</vt:lpstr>
      <vt:lpstr>11.25 Grants Approp Rsrv</vt:lpstr>
      <vt:lpstr>11.26 Grants Approp Rsrv</vt:lpstr>
      <vt:lpstr>11.27 Grants Approp Rsrv</vt:lpstr>
      <vt:lpstr>11.28 Grants Approp Rsrv</vt:lpstr>
      <vt:lpstr>11.29 Grants Approp Rsrv</vt:lpstr>
      <vt:lpstr>11.30 Grants Approp Rsrv</vt:lpstr>
      <vt:lpstr>11.31 Grants Approp Rsrv</vt:lpstr>
      <vt:lpstr>11.32 Grants Approp Rsrv</vt:lpstr>
      <vt:lpstr>11.33 Grants Approp Rsrv</vt:lpstr>
      <vt:lpstr>11.34 Grants Approp Rsrv</vt:lpstr>
      <vt:lpstr>11.35 Grants Approp Rsrv</vt:lpstr>
      <vt:lpstr>11.36 Grants Approp Rsrv</vt:lpstr>
      <vt:lpstr>11.37 Grants Approp Rsrv</vt:lpstr>
      <vt:lpstr>11.38 Grants Approp Rsrv</vt:lpstr>
      <vt:lpstr>11.39 Grants Approp Rsrv</vt:lpstr>
      <vt:lpstr>11- Totals Grants Approp Rsrv</vt:lpstr>
      <vt:lpstr>12-Grants Unappropriated</vt:lpstr>
      <vt:lpstr>12.1-Grants Unappropriated</vt:lpstr>
      <vt:lpstr>12.2-Grants Unappropriated</vt:lpstr>
      <vt:lpstr>12 Total-Grants Unappropriated</vt:lpstr>
      <vt:lpstr>13-Other Taxes</vt:lpstr>
      <vt:lpstr>14-Other Taxes</vt:lpstr>
      <vt:lpstr>15-Other Taxes</vt:lpstr>
      <vt:lpstr>17-Budget Revenues</vt:lpstr>
      <vt:lpstr>17a-Budget Revenues</vt:lpstr>
      <vt:lpstr>17a.1-Budget Revenues </vt:lpstr>
      <vt:lpstr>17a.2-Budget Revenues</vt:lpstr>
      <vt:lpstr>17a.3-Budget Revenues</vt:lpstr>
      <vt:lpstr>17a Totals-Budget Revenues</vt:lpstr>
      <vt:lpstr>18-Budget Appropriations</vt:lpstr>
      <vt:lpstr>19-Results of Op-Cur Fnd</vt:lpstr>
      <vt:lpstr>20-Misc Rev Not Ant</vt:lpstr>
      <vt:lpstr>20.1-Misc Rev Not Ant</vt:lpstr>
      <vt:lpstr>20 Total-Misc Rev Not Ant</vt:lpstr>
      <vt:lpstr>21-Current Fund Surplus</vt:lpstr>
      <vt:lpstr>22-2019 Levy</vt:lpstr>
      <vt:lpstr>22a-Tax Levy Sale</vt:lpstr>
      <vt:lpstr>23-SCVet Deductions</vt:lpstr>
      <vt:lpstr>24-Reserves for Tax Appeals</vt:lpstr>
      <vt:lpstr>26-Delinquent Taxes and Liens</vt:lpstr>
      <vt:lpstr>27-Foreclosed Property</vt:lpstr>
      <vt:lpstr>28-Deferred Charges</vt:lpstr>
      <vt:lpstr>29-Special Emergency</vt:lpstr>
      <vt:lpstr>30-Special Emergency</vt:lpstr>
      <vt:lpstr>31-Capital Bond Schedule</vt:lpstr>
      <vt:lpstr>31A-Loan Schedule</vt:lpstr>
      <vt:lpstr>31A.1-Loan Schedule</vt:lpstr>
      <vt:lpstr>31A.2-Loan Schedule</vt:lpstr>
      <vt:lpstr>32-Bond Schedule</vt:lpstr>
      <vt:lpstr>33-Note Debt Service</vt:lpstr>
      <vt:lpstr>33.1-Note Debt Service</vt:lpstr>
      <vt:lpstr>33 Totals-Note Debt Service</vt:lpstr>
      <vt:lpstr>34-Assmt Note Debt Service</vt:lpstr>
      <vt:lpstr>34a-Cap Lease Program Oblg</vt:lpstr>
      <vt:lpstr>35- Cap Fund Imprv Auth</vt:lpstr>
      <vt:lpstr>35.1- Cap Fund Imprv Auth </vt:lpstr>
      <vt:lpstr>35.2- Cap Fund Imprv Auth</vt:lpstr>
      <vt:lpstr>35.3- Cap Fund Imprv Auth</vt:lpstr>
      <vt:lpstr>35.4- Cap Fund Imprv Auth</vt:lpstr>
      <vt:lpstr>35.5- Cap Fund Imprv Auth</vt:lpstr>
      <vt:lpstr>35.6- Cap Fund Imprv Auth</vt:lpstr>
      <vt:lpstr>35.7- Cap Fund Imprv Auth</vt:lpstr>
      <vt:lpstr>35.8- Cap Fund Imprv Auth</vt:lpstr>
      <vt:lpstr>35.9- Cap Fund Imprv Auth</vt:lpstr>
      <vt:lpstr>35 Totals- Cap Fund Imprv Auth</vt:lpstr>
      <vt:lpstr>36- Capital Improvement Fund</vt:lpstr>
      <vt:lpstr>37- Cap Fund Down Pymts</vt:lpstr>
      <vt:lpstr>38- Capital Surplus</vt:lpstr>
      <vt:lpstr>39- Req. Information</vt:lpstr>
      <vt:lpstr>40</vt:lpstr>
      <vt:lpstr>41-Utility1 </vt:lpstr>
      <vt:lpstr>41a-Utility1</vt:lpstr>
      <vt:lpstr>41a.1-Utility1</vt:lpstr>
      <vt:lpstr>42-Utility1</vt:lpstr>
      <vt:lpstr>43-Utility1</vt:lpstr>
      <vt:lpstr>44-Utility1</vt:lpstr>
      <vt:lpstr>45-Utility1</vt:lpstr>
      <vt:lpstr>46-Utility1</vt:lpstr>
      <vt:lpstr>47-Utility1</vt:lpstr>
      <vt:lpstr>48-Utility1</vt:lpstr>
      <vt:lpstr>49-Utility1</vt:lpstr>
      <vt:lpstr>49a-Utility1</vt:lpstr>
      <vt:lpstr>49a.1-Utility1</vt:lpstr>
      <vt:lpstr>50-Utility1</vt:lpstr>
      <vt:lpstr>51-Utility1</vt:lpstr>
      <vt:lpstr>51a-Utility1</vt:lpstr>
      <vt:lpstr>52-Utility1</vt:lpstr>
      <vt:lpstr>52.1-Utility1</vt:lpstr>
      <vt:lpstr>52.2-Utility1</vt:lpstr>
      <vt:lpstr>52.3-Utility1</vt:lpstr>
      <vt:lpstr>52-Totals-Utility 1</vt:lpstr>
      <vt:lpstr>53-Utility1</vt:lpstr>
      <vt:lpstr>54-Utility1</vt:lpstr>
      <vt:lpstr>41-Utility2</vt:lpstr>
      <vt:lpstr>41a-Utility2</vt:lpstr>
      <vt:lpstr>41a.1-Utility2</vt:lpstr>
      <vt:lpstr>42-Utility2</vt:lpstr>
      <vt:lpstr>43-Utility2</vt:lpstr>
      <vt:lpstr>44-Utility2</vt:lpstr>
      <vt:lpstr>45-Utility2</vt:lpstr>
      <vt:lpstr>46-Utility2 </vt:lpstr>
      <vt:lpstr>47-Utility2</vt:lpstr>
      <vt:lpstr>48-Utility2</vt:lpstr>
      <vt:lpstr>49-Utility2</vt:lpstr>
      <vt:lpstr>49a-Utility2</vt:lpstr>
      <vt:lpstr>49a.1-Utility2 </vt:lpstr>
      <vt:lpstr>50-Utility2</vt:lpstr>
      <vt:lpstr>51-Utility2</vt:lpstr>
      <vt:lpstr>51a-Utility2</vt:lpstr>
      <vt:lpstr>52-Utility2</vt:lpstr>
      <vt:lpstr>52.1-Utility2</vt:lpstr>
      <vt:lpstr>52.2-Utility2</vt:lpstr>
      <vt:lpstr>52.3-Utility2</vt:lpstr>
      <vt:lpstr>52-Totals-Utility2</vt:lpstr>
      <vt:lpstr>53-Utility2</vt:lpstr>
      <vt:lpstr>54-Utility2</vt:lpstr>
      <vt:lpstr>41-Utility3</vt:lpstr>
      <vt:lpstr>41a-Utility3</vt:lpstr>
      <vt:lpstr>41a.1-Utility3</vt:lpstr>
      <vt:lpstr>42-Utility3</vt:lpstr>
      <vt:lpstr>43-Utility3</vt:lpstr>
      <vt:lpstr>44-Utility3</vt:lpstr>
      <vt:lpstr>45-Utility3</vt:lpstr>
      <vt:lpstr>46-Utility3</vt:lpstr>
      <vt:lpstr>47-Utility3</vt:lpstr>
      <vt:lpstr>48-Utility3</vt:lpstr>
      <vt:lpstr>49-Utility3</vt:lpstr>
      <vt:lpstr>49a-Utility3</vt:lpstr>
      <vt:lpstr>49a.1-Utility3</vt:lpstr>
      <vt:lpstr>50-Utility3</vt:lpstr>
      <vt:lpstr>51-Utility3</vt:lpstr>
      <vt:lpstr>51a-Utility3</vt:lpstr>
      <vt:lpstr>52-Utility3</vt:lpstr>
      <vt:lpstr>52.1-Utility3</vt:lpstr>
      <vt:lpstr>52.2-Utility3</vt:lpstr>
      <vt:lpstr>52.3-Utility3</vt:lpstr>
      <vt:lpstr>52-Totals-Utility3</vt:lpstr>
      <vt:lpstr>53-Utility3</vt:lpstr>
      <vt:lpstr>54-Utility3</vt:lpstr>
      <vt:lpstr>41-Utility4</vt:lpstr>
      <vt:lpstr>41a-Utility4</vt:lpstr>
      <vt:lpstr>41a.1-Utility4</vt:lpstr>
      <vt:lpstr>42-Utility4</vt:lpstr>
      <vt:lpstr>43-Utility4</vt:lpstr>
      <vt:lpstr>44-Utility4</vt:lpstr>
      <vt:lpstr>45-Utility4</vt:lpstr>
      <vt:lpstr>46-Utility4</vt:lpstr>
      <vt:lpstr>47-Utility4</vt:lpstr>
      <vt:lpstr>48-Utility4</vt:lpstr>
      <vt:lpstr>49-Utility4</vt:lpstr>
      <vt:lpstr>49a-Utility4</vt:lpstr>
      <vt:lpstr>49a.1-Utility4</vt:lpstr>
      <vt:lpstr>50-Utility4</vt:lpstr>
      <vt:lpstr>51-Utility4</vt:lpstr>
      <vt:lpstr>51a-Utility4</vt:lpstr>
      <vt:lpstr>52-Utility4</vt:lpstr>
      <vt:lpstr>52.1-Utility4</vt:lpstr>
      <vt:lpstr>52.2-Utility4</vt:lpstr>
      <vt:lpstr>52.3-Utility4</vt:lpstr>
      <vt:lpstr>52-Totals-Utility4</vt:lpstr>
      <vt:lpstr>53-Utility4</vt:lpstr>
      <vt:lpstr>54-Utility4</vt:lpstr>
      <vt:lpstr>41-Utility5</vt:lpstr>
      <vt:lpstr>41a-Utility5</vt:lpstr>
      <vt:lpstr>41a.1-Utility5</vt:lpstr>
      <vt:lpstr>42-Utility5</vt:lpstr>
      <vt:lpstr>43-Utility5</vt:lpstr>
      <vt:lpstr>44-Utility5</vt:lpstr>
      <vt:lpstr>45-Utility5</vt:lpstr>
      <vt:lpstr>46-Utility5</vt:lpstr>
      <vt:lpstr>47-Utility5</vt:lpstr>
      <vt:lpstr>48-Utility5</vt:lpstr>
      <vt:lpstr>49-Utility5</vt:lpstr>
      <vt:lpstr>49a-Utility5</vt:lpstr>
      <vt:lpstr>49a.1-Utility5</vt:lpstr>
      <vt:lpstr>50-Utility5</vt:lpstr>
      <vt:lpstr>51-Utility5</vt:lpstr>
      <vt:lpstr>51a-Utility5</vt:lpstr>
      <vt:lpstr>52-Utility5</vt:lpstr>
      <vt:lpstr>52.1-Utility5</vt:lpstr>
      <vt:lpstr>52.2-Utility5</vt:lpstr>
      <vt:lpstr>52.3-Utility5</vt:lpstr>
      <vt:lpstr>52-Totals-Utility5</vt:lpstr>
      <vt:lpstr>53-Utility5</vt:lpstr>
      <vt:lpstr>54-Utility5</vt:lpstr>
      <vt:lpstr>41-Utility6</vt:lpstr>
      <vt:lpstr>41a-Utility6</vt:lpstr>
      <vt:lpstr>41a.1-Utility6</vt:lpstr>
      <vt:lpstr>42-Utility6</vt:lpstr>
      <vt:lpstr>43-Utility6</vt:lpstr>
      <vt:lpstr>44-Utility6</vt:lpstr>
      <vt:lpstr>45-Utility6</vt:lpstr>
      <vt:lpstr>46-Utility6</vt:lpstr>
      <vt:lpstr>47-Utility6</vt:lpstr>
      <vt:lpstr>48-Utility6</vt:lpstr>
      <vt:lpstr>49-Utility6</vt:lpstr>
      <vt:lpstr>49a-Utility6</vt:lpstr>
      <vt:lpstr>49a.1-Utility6</vt:lpstr>
      <vt:lpstr>50-Utility6</vt:lpstr>
      <vt:lpstr>51-Utility6</vt:lpstr>
      <vt:lpstr>51a-Utility6</vt:lpstr>
      <vt:lpstr>52-Utility 6</vt:lpstr>
      <vt:lpstr>52.1-Utility6</vt:lpstr>
      <vt:lpstr>52.2-Utility6</vt:lpstr>
      <vt:lpstr>52.3-Utility6</vt:lpstr>
      <vt:lpstr>52-Totals-Utility6</vt:lpstr>
      <vt:lpstr>53-Utility6</vt:lpstr>
      <vt:lpstr>54-Utility6</vt:lpstr>
      <vt:lpstr>'1- Cover'!Print_Area</vt:lpstr>
      <vt:lpstr>'10 Totals Grants Receivable'!Print_Area</vt:lpstr>
      <vt:lpstr>'10.10-Grants Receivable'!Print_Area</vt:lpstr>
      <vt:lpstr>'10.11-Grants Receivable'!Print_Area</vt:lpstr>
      <vt:lpstr>'10.12-Grants Receivable'!Print_Area</vt:lpstr>
      <vt:lpstr>'10.13-Grants Receivable'!Print_Area</vt:lpstr>
      <vt:lpstr>'10.14-Grants Receivable'!Print_Area</vt:lpstr>
      <vt:lpstr>'10.15-Grants Receivable'!Print_Area</vt:lpstr>
      <vt:lpstr>'10.16-Grants Receivable'!Print_Area</vt:lpstr>
      <vt:lpstr>'10.17-Grants Receivable'!Print_Area</vt:lpstr>
      <vt:lpstr>'10.18-Grants Receivable'!Print_Area</vt:lpstr>
      <vt:lpstr>'10.19-Grants Receivable'!Print_Area</vt:lpstr>
      <vt:lpstr>'10.1-Grants Receivable'!Print_Area</vt:lpstr>
      <vt:lpstr>'10.20-Grants Receivable'!Print_Area</vt:lpstr>
      <vt:lpstr>'10.21-Grants Receivable'!Print_Area</vt:lpstr>
      <vt:lpstr>'10.22-Grants Receivable'!Print_Area</vt:lpstr>
      <vt:lpstr>'10.23-Grants Receivable'!Print_Area</vt:lpstr>
      <vt:lpstr>'10.24-Grants Receivable'!Print_Area</vt:lpstr>
      <vt:lpstr>'10.2-Grants Receivable'!Print_Area</vt:lpstr>
      <vt:lpstr>'10.3-Grants Receivable'!Print_Area</vt:lpstr>
      <vt:lpstr>'10.4-Grants Receivable'!Print_Area</vt:lpstr>
      <vt:lpstr>'10.5-Grants Receivable'!Print_Area</vt:lpstr>
      <vt:lpstr>'10.6-Grants Receivable'!Print_Area</vt:lpstr>
      <vt:lpstr>'10.7-Grants Receivable'!Print_Area</vt:lpstr>
      <vt:lpstr>'10.8-Grants Receivable'!Print_Area</vt:lpstr>
      <vt:lpstr>'10.9-Grants Receivable'!Print_Area</vt:lpstr>
      <vt:lpstr>'10-Grants Receivable'!Print_Area</vt:lpstr>
      <vt:lpstr>'11 Grants Approp Rsrv'!Print_Area</vt:lpstr>
      <vt:lpstr>'11- Totals Grants Approp Rsrv'!Print_Area</vt:lpstr>
      <vt:lpstr>'11.1 Grants Approp Rsrv'!Print_Area</vt:lpstr>
      <vt:lpstr>'11.10 Grants Approp Rsrv'!Print_Area</vt:lpstr>
      <vt:lpstr>'11.11 Grants Approp Rsrv'!Print_Area</vt:lpstr>
      <vt:lpstr>'11.12 Grants Approp Rsrv'!Print_Area</vt:lpstr>
      <vt:lpstr>'11.13 Grants Approp Rsrv'!Print_Area</vt:lpstr>
      <vt:lpstr>'11.14 Grants Approp Rsrv'!Print_Area</vt:lpstr>
      <vt:lpstr>'11.15 Grants Approp Rsrv'!Print_Area</vt:lpstr>
      <vt:lpstr>'11.16 Grants Approp Rsrv'!Print_Area</vt:lpstr>
      <vt:lpstr>'11.17 Grants Approp Rsrv'!Print_Area</vt:lpstr>
      <vt:lpstr>'11.18 Grants Approp Rsrv'!Print_Area</vt:lpstr>
      <vt:lpstr>'11.19 Grants Approp Rsrv'!Print_Area</vt:lpstr>
      <vt:lpstr>'11.2 Grants Approp Rsrv'!Print_Area</vt:lpstr>
      <vt:lpstr>'11.20 Grants Approp Rsrv'!Print_Area</vt:lpstr>
      <vt:lpstr>'11.21 Grants Approp Rsrv'!Print_Area</vt:lpstr>
      <vt:lpstr>'11.22 Grants Approp Rsrv'!Print_Area</vt:lpstr>
      <vt:lpstr>'11.23 Grants Approp Rsrv'!Print_Area</vt:lpstr>
      <vt:lpstr>'11.24 Grants Approp Rsrv'!Print_Area</vt:lpstr>
      <vt:lpstr>'11.25 Grants Approp Rsrv'!Print_Area</vt:lpstr>
      <vt:lpstr>'11.26 Grants Approp Rsrv'!Print_Area</vt:lpstr>
      <vt:lpstr>'11.27 Grants Approp Rsrv'!Print_Area</vt:lpstr>
      <vt:lpstr>'11.28 Grants Approp Rsrv'!Print_Area</vt:lpstr>
      <vt:lpstr>'11.29 Grants Approp Rsrv'!Print_Area</vt:lpstr>
      <vt:lpstr>'11.3 Grants Approp Rsrv'!Print_Area</vt:lpstr>
      <vt:lpstr>'11.30 Grants Approp Rsrv'!Print_Area</vt:lpstr>
      <vt:lpstr>'11.31 Grants Approp Rsrv'!Print_Area</vt:lpstr>
      <vt:lpstr>'11.32 Grants Approp Rsrv'!Print_Area</vt:lpstr>
      <vt:lpstr>'11.33 Grants Approp Rsrv'!Print_Area</vt:lpstr>
      <vt:lpstr>'11.34 Grants Approp Rsrv'!Print_Area</vt:lpstr>
      <vt:lpstr>'11.35 Grants Approp Rsrv'!Print_Area</vt:lpstr>
      <vt:lpstr>'11.36 Grants Approp Rsrv'!Print_Area</vt:lpstr>
      <vt:lpstr>'11.37 Grants Approp Rsrv'!Print_Area</vt:lpstr>
      <vt:lpstr>'11.38 Grants Approp Rsrv'!Print_Area</vt:lpstr>
      <vt:lpstr>'11.39 Grants Approp Rsrv'!Print_Area</vt:lpstr>
      <vt:lpstr>'11.4 Grants Approp Rsrv'!Print_Area</vt:lpstr>
      <vt:lpstr>'11.5 Grants Approp Rsrv'!Print_Area</vt:lpstr>
      <vt:lpstr>'11.6 Grants Approp Rsrv'!Print_Area</vt:lpstr>
      <vt:lpstr>'11.7 Grants Approp Rsrv'!Print_Area</vt:lpstr>
      <vt:lpstr>'11.8 Grants Approp Rsrv'!Print_Area</vt:lpstr>
      <vt:lpstr>'11.9 Grants Approp Rsrv'!Print_Area</vt:lpstr>
      <vt:lpstr>'12 Total-Grants Unappropriated'!Print_Area</vt:lpstr>
      <vt:lpstr>'12.1-Grants Unappropriated'!Print_Area</vt:lpstr>
      <vt:lpstr>'12.2-Grants Unappropriated'!Print_Area</vt:lpstr>
      <vt:lpstr>'12-Grants Unappropriated'!Print_Area</vt:lpstr>
      <vt:lpstr>'13-Other Taxes'!Print_Area</vt:lpstr>
      <vt:lpstr>'14-Other Taxes'!Print_Area</vt:lpstr>
      <vt:lpstr>'15-Other Taxes'!Print_Area</vt:lpstr>
      <vt:lpstr>'17a Totals-Budget Revenues'!Print_Area</vt:lpstr>
      <vt:lpstr>'17a.1-Budget Revenues '!Print_Area</vt:lpstr>
      <vt:lpstr>'17a.2-Budget Revenues'!Print_Area</vt:lpstr>
      <vt:lpstr>'17a.3-Budget Revenues'!Print_Area</vt:lpstr>
      <vt:lpstr>'17a-Budget Revenues'!Print_Area</vt:lpstr>
      <vt:lpstr>'17-Budget Revenues'!Print_Area</vt:lpstr>
      <vt:lpstr>'18-Budget Appropriations'!Print_Area</vt:lpstr>
      <vt:lpstr>'19-Results of Op-Cur Fnd'!Print_Area</vt:lpstr>
      <vt:lpstr>'1a - RMA Certification'!Print_Area</vt:lpstr>
      <vt:lpstr>'1b - Local Exam Qual Cert'!Print_Area</vt:lpstr>
      <vt:lpstr>'1c - Fed &amp; State Finan Asst.'!Print_Area</vt:lpstr>
      <vt:lpstr>'2 - No Utility Fund Cert'!Print_Area</vt:lpstr>
      <vt:lpstr>'20 Total-Misc Rev Not Ant'!Print_Area</vt:lpstr>
      <vt:lpstr>'20.1-Misc Rev Not Ant'!Print_Area</vt:lpstr>
      <vt:lpstr>'20-Misc Rev Not Ant'!Print_Area</vt:lpstr>
      <vt:lpstr>'21-Current Fund Surplus'!Print_Area</vt:lpstr>
      <vt:lpstr>'22-2019 Levy'!Print_Area</vt:lpstr>
      <vt:lpstr>'22a-Tax Levy Sale'!Print_Area</vt:lpstr>
      <vt:lpstr>'23-SCVet Deductions'!Print_Area</vt:lpstr>
      <vt:lpstr>'24-Reserves for Tax Appeals'!Print_Area</vt:lpstr>
      <vt:lpstr>'26-Delinquent Taxes and Liens'!Print_Area</vt:lpstr>
      <vt:lpstr>'27-Foreclosed Property'!Print_Area</vt:lpstr>
      <vt:lpstr>'28-Deferred Charges'!Print_Area</vt:lpstr>
      <vt:lpstr>'29-Special Emergency'!Print_Area</vt:lpstr>
      <vt:lpstr>'30-Special Emergency'!Print_Area</vt:lpstr>
      <vt:lpstr>'31A.1-Loan Schedule'!Print_Area</vt:lpstr>
      <vt:lpstr>'31A.2-Loan Schedule'!Print_Area</vt:lpstr>
      <vt:lpstr>'31A-Loan Schedule'!Print_Area</vt:lpstr>
      <vt:lpstr>'31-Capital Bond Schedule'!Print_Area</vt:lpstr>
      <vt:lpstr>'32-Bond Schedule'!Print_Area</vt:lpstr>
      <vt:lpstr>'33 Totals-Note Debt Service'!Print_Area</vt:lpstr>
      <vt:lpstr>'33.1-Note Debt Service'!Print_Area</vt:lpstr>
      <vt:lpstr>'33-Note Debt Service'!Print_Area</vt:lpstr>
      <vt:lpstr>'34a-Cap Lease Program Oblg'!Print_Area</vt:lpstr>
      <vt:lpstr>'34-Assmt Note Debt Service'!Print_Area</vt:lpstr>
      <vt:lpstr>'35- Cap Fund Imprv Auth'!Print_Area</vt:lpstr>
      <vt:lpstr>'35 Totals- Cap Fund Imprv Auth'!Print_Area</vt:lpstr>
      <vt:lpstr>'35.1- Cap Fund Imprv Auth '!Print_Area</vt:lpstr>
      <vt:lpstr>'35.2- Cap Fund Imprv Auth'!Print_Area</vt:lpstr>
      <vt:lpstr>'35.3- Cap Fund Imprv Auth'!Print_Area</vt:lpstr>
      <vt:lpstr>'35.4- Cap Fund Imprv Auth'!Print_Area</vt:lpstr>
      <vt:lpstr>'35.5- Cap Fund Imprv Auth'!Print_Area</vt:lpstr>
      <vt:lpstr>'35.6- Cap Fund Imprv Auth'!Print_Area</vt:lpstr>
      <vt:lpstr>'35.7- Cap Fund Imprv Auth'!Print_Area</vt:lpstr>
      <vt:lpstr>'35.8- Cap Fund Imprv Auth'!Print_Area</vt:lpstr>
      <vt:lpstr>'35.9- Cap Fund Imprv Auth'!Print_Area</vt:lpstr>
      <vt:lpstr>'36- Capital Improvement Fund'!Print_Area</vt:lpstr>
      <vt:lpstr>'37- Cap Fund Down Pymts'!Print_Area</vt:lpstr>
      <vt:lpstr>'38- Capital Surplus'!Print_Area</vt:lpstr>
      <vt:lpstr>'39- Req. Information'!Print_Area</vt:lpstr>
      <vt:lpstr>'3a.1-Trial Bal-Current Fund'!Print_Area</vt:lpstr>
      <vt:lpstr>'3a-Trial Bal-Current Fund'!Print_Area</vt:lpstr>
      <vt:lpstr>'3-Trial Bal-Current Fund'!Print_Area</vt:lpstr>
      <vt:lpstr>'40'!Print_Area</vt:lpstr>
      <vt:lpstr>'41a.1-Utility1'!Print_Area</vt:lpstr>
      <vt:lpstr>'41a.1-Utility2'!Print_Area</vt:lpstr>
      <vt:lpstr>'41a.1-Utility3'!Print_Area</vt:lpstr>
      <vt:lpstr>'41a.1-Utility4'!Print_Area</vt:lpstr>
      <vt:lpstr>'41a.1-Utility5'!Print_Area</vt:lpstr>
      <vt:lpstr>'41a.1-Utility6'!Print_Area</vt:lpstr>
      <vt:lpstr>'41a-Utility1'!Print_Area</vt:lpstr>
      <vt:lpstr>'41a-Utility2'!Print_Area</vt:lpstr>
      <vt:lpstr>'41a-Utility3'!Print_Area</vt:lpstr>
      <vt:lpstr>'41a-Utility4'!Print_Area</vt:lpstr>
      <vt:lpstr>'41a-Utility5'!Print_Area</vt:lpstr>
      <vt:lpstr>'41a-Utility6'!Print_Area</vt:lpstr>
      <vt:lpstr>'41-Utility1 '!Print_Area</vt:lpstr>
      <vt:lpstr>'41-Utility2'!Print_Area</vt:lpstr>
      <vt:lpstr>'41-Utility3'!Print_Area</vt:lpstr>
      <vt:lpstr>'41-Utility4'!Print_Area</vt:lpstr>
      <vt:lpstr>'41-Utility5'!Print_Area</vt:lpstr>
      <vt:lpstr>'41-Utility6'!Print_Area</vt:lpstr>
      <vt:lpstr>'42-Utility1'!Print_Area</vt:lpstr>
      <vt:lpstr>'42-Utility2'!Print_Area</vt:lpstr>
      <vt:lpstr>'42-Utility3'!Print_Area</vt:lpstr>
      <vt:lpstr>'42-Utility4'!Print_Area</vt:lpstr>
      <vt:lpstr>'42-Utility5'!Print_Area</vt:lpstr>
      <vt:lpstr>'42-Utility6'!Print_Area</vt:lpstr>
      <vt:lpstr>'43-Utility1'!Print_Area</vt:lpstr>
      <vt:lpstr>'43-Utility2'!Print_Area</vt:lpstr>
      <vt:lpstr>'43-Utility3'!Print_Area</vt:lpstr>
      <vt:lpstr>'43-Utility4'!Print_Area</vt:lpstr>
      <vt:lpstr>'43-Utility5'!Print_Area</vt:lpstr>
      <vt:lpstr>'43-Utility6'!Print_Area</vt:lpstr>
      <vt:lpstr>'44-Utility1'!Print_Area</vt:lpstr>
      <vt:lpstr>'44-Utility2'!Print_Area</vt:lpstr>
      <vt:lpstr>'44-Utility3'!Print_Area</vt:lpstr>
      <vt:lpstr>'44-Utility4'!Print_Area</vt:lpstr>
      <vt:lpstr>'44-Utility5'!Print_Area</vt:lpstr>
      <vt:lpstr>'44-Utility6'!Print_Area</vt:lpstr>
      <vt:lpstr>'45-Utility1'!Print_Area</vt:lpstr>
      <vt:lpstr>'45-Utility2'!Print_Area</vt:lpstr>
      <vt:lpstr>'45-Utility3'!Print_Area</vt:lpstr>
      <vt:lpstr>'45-Utility4'!Print_Area</vt:lpstr>
      <vt:lpstr>'45-Utility5'!Print_Area</vt:lpstr>
      <vt:lpstr>'45-Utility6'!Print_Area</vt:lpstr>
      <vt:lpstr>'46-Utility1'!Print_Area</vt:lpstr>
      <vt:lpstr>'46-Utility2 '!Print_Area</vt:lpstr>
      <vt:lpstr>'46-Utility3'!Print_Area</vt:lpstr>
      <vt:lpstr>'46-Utility4'!Print_Area</vt:lpstr>
      <vt:lpstr>'46-Utility5'!Print_Area</vt:lpstr>
      <vt:lpstr>'46-Utility6'!Print_Area</vt:lpstr>
      <vt:lpstr>'47-Utility1'!Print_Area</vt:lpstr>
      <vt:lpstr>'47-Utility2'!Print_Area</vt:lpstr>
      <vt:lpstr>'47-Utility3'!Print_Area</vt:lpstr>
      <vt:lpstr>'47-Utility4'!Print_Area</vt:lpstr>
      <vt:lpstr>'47-Utility5'!Print_Area</vt:lpstr>
      <vt:lpstr>'47-Utility6'!Print_Area</vt:lpstr>
      <vt:lpstr>'48-Utility1'!Print_Area</vt:lpstr>
      <vt:lpstr>'48-Utility2'!Print_Area</vt:lpstr>
      <vt:lpstr>'48-Utility3'!Print_Area</vt:lpstr>
      <vt:lpstr>'48-Utility4'!Print_Area</vt:lpstr>
      <vt:lpstr>'48-Utility5'!Print_Area</vt:lpstr>
      <vt:lpstr>'48-Utility6'!Print_Area</vt:lpstr>
      <vt:lpstr>'49a.1-Utility1'!Print_Area</vt:lpstr>
      <vt:lpstr>'49a.1-Utility2 '!Print_Area</vt:lpstr>
      <vt:lpstr>'49a.1-Utility3'!Print_Area</vt:lpstr>
      <vt:lpstr>'49a.1-Utility4'!Print_Area</vt:lpstr>
      <vt:lpstr>'49a.1-Utility5'!Print_Area</vt:lpstr>
      <vt:lpstr>'49a.1-Utility6'!Print_Area</vt:lpstr>
      <vt:lpstr>'49a-Utility1'!Print_Area</vt:lpstr>
      <vt:lpstr>'49a-Utility2'!Print_Area</vt:lpstr>
      <vt:lpstr>'49a-Utility3'!Print_Area</vt:lpstr>
      <vt:lpstr>'49a-Utility4'!Print_Area</vt:lpstr>
      <vt:lpstr>'49a-Utility5'!Print_Area</vt:lpstr>
      <vt:lpstr>'49a-Utility6'!Print_Area</vt:lpstr>
      <vt:lpstr>'49-Utility1'!Print_Area</vt:lpstr>
      <vt:lpstr>'49-Utility2'!Print_Area</vt:lpstr>
      <vt:lpstr>'49-Utility3'!Print_Area</vt:lpstr>
      <vt:lpstr>'49-Utility4'!Print_Area</vt:lpstr>
      <vt:lpstr>'49-Utility5'!Print_Area</vt:lpstr>
      <vt:lpstr>'49-Utility6'!Print_Area</vt:lpstr>
      <vt:lpstr>'4-Trial Bal-Pub Assist Fnd'!Print_Area</vt:lpstr>
      <vt:lpstr>'50-Utility1'!Print_Area</vt:lpstr>
      <vt:lpstr>'50-Utility2'!Print_Area</vt:lpstr>
      <vt:lpstr>'50-Utility3'!Print_Area</vt:lpstr>
      <vt:lpstr>'50-Utility4'!Print_Area</vt:lpstr>
      <vt:lpstr>'50-Utility5'!Print_Area</vt:lpstr>
      <vt:lpstr>'50-Utility6'!Print_Area</vt:lpstr>
      <vt:lpstr>'51a-Utility1'!Print_Area</vt:lpstr>
      <vt:lpstr>'51a-Utility2'!Print_Area</vt:lpstr>
      <vt:lpstr>'51a-Utility3'!Print_Area</vt:lpstr>
      <vt:lpstr>'51a-Utility4'!Print_Area</vt:lpstr>
      <vt:lpstr>'51a-Utility5'!Print_Area</vt:lpstr>
      <vt:lpstr>'51a-Utility6'!Print_Area</vt:lpstr>
      <vt:lpstr>'51-Utility1'!Print_Area</vt:lpstr>
      <vt:lpstr>'51-Utility2'!Print_Area</vt:lpstr>
      <vt:lpstr>'51-Utility3'!Print_Area</vt:lpstr>
      <vt:lpstr>'51-Utility4'!Print_Area</vt:lpstr>
      <vt:lpstr>'51-Utility5'!Print_Area</vt:lpstr>
      <vt:lpstr>'51-Utility6'!Print_Area</vt:lpstr>
      <vt:lpstr>'52.1-Utility1'!Print_Area</vt:lpstr>
      <vt:lpstr>'52.1-Utility2'!Print_Area</vt:lpstr>
      <vt:lpstr>'52.1-Utility3'!Print_Area</vt:lpstr>
      <vt:lpstr>'52.1-Utility4'!Print_Area</vt:lpstr>
      <vt:lpstr>'52.1-Utility5'!Print_Area</vt:lpstr>
      <vt:lpstr>'52.1-Utility6'!Print_Area</vt:lpstr>
      <vt:lpstr>'52.2-Utility1'!Print_Area</vt:lpstr>
      <vt:lpstr>'52.2-Utility2'!Print_Area</vt:lpstr>
      <vt:lpstr>'52.2-Utility3'!Print_Area</vt:lpstr>
      <vt:lpstr>'52.2-Utility4'!Print_Area</vt:lpstr>
      <vt:lpstr>'52.2-Utility5'!Print_Area</vt:lpstr>
      <vt:lpstr>'52.2-Utility6'!Print_Area</vt:lpstr>
      <vt:lpstr>'52.3-Utility1'!Print_Area</vt:lpstr>
      <vt:lpstr>'52.3-Utility2'!Print_Area</vt:lpstr>
      <vt:lpstr>'52.3-Utility3'!Print_Area</vt:lpstr>
      <vt:lpstr>'52.3-Utility4'!Print_Area</vt:lpstr>
      <vt:lpstr>'52.3-Utility5'!Print_Area</vt:lpstr>
      <vt:lpstr>'52.3-Utility6'!Print_Area</vt:lpstr>
      <vt:lpstr>'52-Totals-Utility 1'!Print_Area</vt:lpstr>
      <vt:lpstr>'52-Totals-Utility2'!Print_Area</vt:lpstr>
      <vt:lpstr>'52-Totals-Utility3'!Print_Area</vt:lpstr>
      <vt:lpstr>'52-Totals-Utility4'!Print_Area</vt:lpstr>
      <vt:lpstr>'52-Totals-Utility5'!Print_Area</vt:lpstr>
      <vt:lpstr>'52-Totals-Utility6'!Print_Area</vt:lpstr>
      <vt:lpstr>'52-Utility 6'!Print_Area</vt:lpstr>
      <vt:lpstr>'52-Utility1'!Print_Area</vt:lpstr>
      <vt:lpstr>'52-Utility2'!Print_Area</vt:lpstr>
      <vt:lpstr>'52-Utility3'!Print_Area</vt:lpstr>
      <vt:lpstr>'52-Utility4'!Print_Area</vt:lpstr>
      <vt:lpstr>'52-Utility5'!Print_Area</vt:lpstr>
      <vt:lpstr>'53-Utility1'!Print_Area</vt:lpstr>
      <vt:lpstr>'53-Utility2'!Print_Area</vt:lpstr>
      <vt:lpstr>'53-Utility3'!Print_Area</vt:lpstr>
      <vt:lpstr>'53-Utility4'!Print_Area</vt:lpstr>
      <vt:lpstr>'53-Utility5'!Print_Area</vt:lpstr>
      <vt:lpstr>'53-Utility6'!Print_Area</vt:lpstr>
      <vt:lpstr>'54-Utility1'!Print_Area</vt:lpstr>
      <vt:lpstr>'54-Utility2'!Print_Area</vt:lpstr>
      <vt:lpstr>'54-Utility3'!Print_Area</vt:lpstr>
      <vt:lpstr>'54-Utility4'!Print_Area</vt:lpstr>
      <vt:lpstr>'54-Utility5'!Print_Area</vt:lpstr>
      <vt:lpstr>'54-Utility6'!Print_Area</vt:lpstr>
      <vt:lpstr>'5-Trial Bal-Grants'!Print_Area</vt:lpstr>
      <vt:lpstr>'6.1-Trial Bal-Trust Fnds'!Print_Area</vt:lpstr>
      <vt:lpstr>'6.2-Trial Bal-Trust Fnds'!Print_Area</vt:lpstr>
      <vt:lpstr>'6.3-Trial Bal-Trust Fnds'!Print_Area</vt:lpstr>
      <vt:lpstr>'6.4-Trial Bal-Trust Fnds'!Print_Area</vt:lpstr>
      <vt:lpstr>'6.TOTAL-Trial Bal-Trust Fnds'!Print_Area</vt:lpstr>
      <vt:lpstr>'69 - Instructions'!Print_Area</vt:lpstr>
      <vt:lpstr>'6b.1-Trust Fund Reserves'!Print_Area</vt:lpstr>
      <vt:lpstr>'6b.2-Trust Fund Reserves'!Print_Area</vt:lpstr>
      <vt:lpstr>'6b.3-Trust Fund Reserves'!Print_Area</vt:lpstr>
      <vt:lpstr>'6b-Total Trust Fund Reserves'!Print_Area</vt:lpstr>
      <vt:lpstr>'6b-Trust Fund Reserves'!Print_Area</vt:lpstr>
      <vt:lpstr>'6-Trial Bal-Trust Fnds'!Print_Area</vt:lpstr>
      <vt:lpstr>'7-Trust Asm Cash &amp; Investments'!Print_Area</vt:lpstr>
      <vt:lpstr>'8.1-Trial Bal-Gen Cap Fund'!Print_Area</vt:lpstr>
      <vt:lpstr>'8-Trial Bal-Gen Cap Fund'!Print_Area</vt:lpstr>
      <vt:lpstr>'9a TOTAL-Cash Reconciliation'!Print_Area</vt:lpstr>
      <vt:lpstr>'9a.1-Cash Reconciliation'!Print_Area</vt:lpstr>
      <vt:lpstr>'9a.2-Cash Reconciliation'!Print_Area</vt:lpstr>
      <vt:lpstr>'9a.3-Cash Reconciliation'!Print_Area</vt:lpstr>
      <vt:lpstr>'9a-Cash Reconciliation'!Print_Area</vt:lpstr>
      <vt:lpstr>'9-Cash Reconciliation'!Print_Area</vt:lpstr>
      <vt:lpstr>Instructions!Print_Area</vt:lpstr>
      <vt:lpstr>'KEY INPUTS'!Print_Area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DLGS@dca.nj.gov</dc:creator>
  <cp:lastModifiedBy>William J. Hance</cp:lastModifiedBy>
  <cp:lastPrinted>2020-06-12T15:31:41Z</cp:lastPrinted>
  <dcterms:created xsi:type="dcterms:W3CDTF">1999-12-07T13:42:27Z</dcterms:created>
  <dcterms:modified xsi:type="dcterms:W3CDTF">2020-06-12T15:31:42Z</dcterms:modified>
</cp:coreProperties>
</file>